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trlProps/ctrlProp1.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autoCompressPictures="0" defaultThemeVersion="124226"/>
  <mc:AlternateContent xmlns:mc="http://schemas.openxmlformats.org/markup-compatibility/2006">
    <mc:Choice Requires="x15">
      <x15ac:absPath xmlns:x15ac="http://schemas.microsoft.com/office/spreadsheetml/2010/11/ac" url="P:\_D_Adj_Ass_Depots\_Assurance-Dépôts\_FINANCEMENT\Misa 2.0\Fomulaires DDG\v5.00 Formulaires DDG\Version client barrée\Pour Page Web\"/>
    </mc:Choice>
  </mc:AlternateContent>
  <xr:revisionPtr revIDLastSave="0" documentId="8_{151F7DE7-1D8E-4E34-A05C-1664BA778427}" xr6:coauthVersionLast="47" xr6:coauthVersionMax="47" xr10:uidLastSave="{00000000-0000-0000-0000-000000000000}"/>
  <workbookProtection workbookAlgorithmName="SHA-512" workbookHashValue="x6Kr7DNJkxCymuznj6jcPiyXPzMMXmnUpm4a3rGMD9CO+kJXnst2UVCOQc0CcgS0Vl1OrhZr3Rwmy7M6Wkd3CQ==" workbookSaltValue="CjurWgFquj4aigGeZD2uKw==" workbookSpinCount="100000" lockStructure="1"/>
  <bookViews>
    <workbookView xWindow="-23148" yWindow="-108" windowWidth="23256" windowHeight="12576" tabRatio="706" xr2:uid="{00000000-000D-0000-FFFF-FFFF00000000}"/>
  </bookViews>
  <sheets>
    <sheet name="Identification" sheetId="10" r:id="rId1"/>
    <sheet name="T des M - T of C" sheetId="12" r:id="rId2"/>
    <sheet name="100" sheetId="11" r:id="rId3"/>
    <sheet name="200" sheetId="14" r:id="rId4"/>
    <sheet name="300" sheetId="13" r:id="rId5"/>
    <sheet name="Validation" sheetId="19" r:id="rId6"/>
    <sheet name="Parametres" sheetId="8" state="hidden" r:id="rId7"/>
  </sheets>
  <externalReferences>
    <externalReference r:id="rId8"/>
    <externalReference r:id="rId9"/>
  </externalReferences>
  <definedNames>
    <definedName name="_02103101">'[1]0210'!$I$44</definedName>
    <definedName name="_02103102">'[1]0210'!$J$44</definedName>
    <definedName name="_02103103">'[1]0210'!$K$44</definedName>
    <definedName name="_03102201">'[1]0310'!$I$40</definedName>
    <definedName name="_03102202">'[1]0310'!$J$40</definedName>
    <definedName name="_03102301">'[1]0310'!$I$42</definedName>
    <definedName name="_03102302">'[1]0310'!$J$42</definedName>
    <definedName name="_03102303">'[1]0310'!$K$42</definedName>
    <definedName name="_03103201">'[1]0310'!$I$39</definedName>
    <definedName name="_03103202">'[1]0310'!$J$39</definedName>
    <definedName name="_04102801">'[1]0410'!$J$58</definedName>
    <definedName name="_04102802">'[1]0410'!$K$58</definedName>
    <definedName name="_05200201">'[1]0520'!$I$23</definedName>
    <definedName name="_05200202">'[1]0520'!$J$23</definedName>
    <definedName name="_05200301">'[1]0520'!$I$24</definedName>
    <definedName name="_05200302">'[1]0520'!$J$24</definedName>
    <definedName name="_05200401">'[1]0520'!$I$25</definedName>
    <definedName name="_05200402">'[1]0520'!$J$25</definedName>
    <definedName name="_05200501">'[1]0520'!$I$26</definedName>
    <definedName name="_05200502">'[1]0520'!$J$26</definedName>
    <definedName name="_05200601">'[1]0520'!$I$29</definedName>
    <definedName name="_05200602">'[1]0520'!$J$29</definedName>
    <definedName name="_05200701">'[1]0520'!$I$30</definedName>
    <definedName name="_05200702">'[1]0520'!$J$30</definedName>
    <definedName name="_05200801">'[1]0520'!$I$32</definedName>
    <definedName name="_05200802">'[1]0520'!$J$32</definedName>
    <definedName name="_05200901">'[1]0520'!$I$33</definedName>
    <definedName name="_05200902">'[1]0520'!$J$33</definedName>
    <definedName name="_05201201">'[1]0520'!$I$34</definedName>
    <definedName name="_05201202">'[1]0520'!$J$34</definedName>
    <definedName name="_05202101">'[1]0520'!$I$43</definedName>
    <definedName name="_05202102">'[1]0520'!$J$43</definedName>
    <definedName name="_05203901">'[1]0520'!$I$44</definedName>
    <definedName name="_05203902">'[1]0520'!$J$44</definedName>
    <definedName name="_05303020">'[1]0530'!$K$21</definedName>
    <definedName name="_05303024">'[1]0530'!$L$21</definedName>
    <definedName name="_05303028">'[1]0530'!$M$21</definedName>
    <definedName name="_05303036">'[1]0530'!$O$21</definedName>
    <definedName name="_05303050">'[1]0530'!$P$21</definedName>
    <definedName name="_05303060">'[1]0530'!$Q$21</definedName>
    <definedName name="_05304550">'[1]0530'!$P$24</definedName>
    <definedName name="_05304560">'[1]0530'!$Q$24</definedName>
    <definedName name="_05306520">'[1]0530'!$K$29</definedName>
    <definedName name="_05306524">'[1]0530'!$L$29</definedName>
    <definedName name="_05306528">'[1]0530'!$M$29</definedName>
    <definedName name="_05306536">'[1]0530'!$O$29</definedName>
    <definedName name="_05306550">'[1]0530'!$P$29</definedName>
    <definedName name="_05306560">'[1]0530'!$Q$29</definedName>
    <definedName name="_05309950">'[1]0530'!$P$32</definedName>
    <definedName name="_05309960">'[1]0530'!$Q$32</definedName>
    <definedName name="_10001001">'100'!$F$8</definedName>
    <definedName name="_10001002">'100'!$H$8</definedName>
    <definedName name="_10001003">'100'!$J$8</definedName>
    <definedName name="_10002001">'100'!$F$11</definedName>
    <definedName name="_10002002">'100'!$H$11</definedName>
    <definedName name="_10002003">'100'!$J$11</definedName>
    <definedName name="_10003001">'100'!$F$14</definedName>
    <definedName name="_10003002">'100'!$H$14</definedName>
    <definedName name="_10003003">'100'!$J$14</definedName>
    <definedName name="_10004001">'100'!$F$17</definedName>
    <definedName name="_10004002">'100'!$H$17</definedName>
    <definedName name="_10004003">'100'!$J$17</definedName>
    <definedName name="_10005001">'100'!$F$20</definedName>
    <definedName name="_10005002">'100'!$H$20</definedName>
    <definedName name="_10005003">'100'!$J$20</definedName>
    <definedName name="_10006003">'100'!$J$23</definedName>
    <definedName name="_1001001">'100'!$F$8</definedName>
    <definedName name="_1001002">'100'!$H$8</definedName>
    <definedName name="_1002001">'100'!$F$11</definedName>
    <definedName name="_1002002">'100'!$H$11</definedName>
    <definedName name="_1004001">'100'!$F$17</definedName>
    <definedName name="_1004002">'100'!$H$17</definedName>
    <definedName name="_20001001">'200'!$F$9</definedName>
    <definedName name="_20001002">'200'!$G$9</definedName>
    <definedName name="_20001003">'200'!$H$9</definedName>
    <definedName name="_20001004">'200'!$K$9</definedName>
    <definedName name="_20001005">'200'!$L$9</definedName>
    <definedName name="_20001006">'200'!$I$9</definedName>
    <definedName name="_20002001">'200'!$F$11</definedName>
    <definedName name="_20002002">'200'!$G$11</definedName>
    <definedName name="_20002003">'200'!$H$11</definedName>
    <definedName name="_20002004">'200'!$K$11</definedName>
    <definedName name="_20002005">'200'!$L$11</definedName>
    <definedName name="_20002006">'200'!$I$11</definedName>
    <definedName name="_20003001">'200'!$F$13</definedName>
    <definedName name="_20003002">'200'!$G$13</definedName>
    <definedName name="_20003003">'200'!$H$13</definedName>
    <definedName name="_20003004">'200'!$K$13</definedName>
    <definedName name="_20003005">'200'!$L$13</definedName>
    <definedName name="_20003006">'200'!$I$13</definedName>
    <definedName name="_20003104">'200'!$K$14</definedName>
    <definedName name="_20003105">'200'!$L$14</definedName>
    <definedName name="_20003204">'200'!$K$15</definedName>
    <definedName name="_20003205">'200'!$L$15</definedName>
    <definedName name="_20003304">'200'!$K$16</definedName>
    <definedName name="_20003305">'200'!$L$16</definedName>
    <definedName name="_20004001">'200'!$F$18</definedName>
    <definedName name="_20004002">'200'!$G$18</definedName>
    <definedName name="_20004003">'200'!$H$18</definedName>
    <definedName name="_20004004">'200'!$K$18</definedName>
    <definedName name="_20004005">'200'!$L$18</definedName>
    <definedName name="_20004006">'200'!$I$18</definedName>
    <definedName name="_20005001">'200'!$F$20</definedName>
    <definedName name="_20005002">'200'!$G$20</definedName>
    <definedName name="_20005003">'200'!$H$20</definedName>
    <definedName name="_20005004">'200'!$K$20</definedName>
    <definedName name="_20005005">'200'!$L$20</definedName>
    <definedName name="_20005006">'200'!$I$20</definedName>
    <definedName name="_20006001">'200'!$F$22</definedName>
    <definedName name="_20006002">'200'!$G$22</definedName>
    <definedName name="_20006003">'200'!$H$22</definedName>
    <definedName name="_20006004">'200'!$K$22</definedName>
    <definedName name="_20006005">'200'!$L$22</definedName>
    <definedName name="_20006006">'200'!$I$22</definedName>
    <definedName name="_20007001">'200'!$F$24</definedName>
    <definedName name="_20007002">'200'!$G$24</definedName>
    <definedName name="_20007003">'200'!$H$24</definedName>
    <definedName name="_20007004">'200'!$K$24</definedName>
    <definedName name="_20007005">'200'!$L$24</definedName>
    <definedName name="_20007006">'200'!$I$24</definedName>
    <definedName name="_20008001">'200'!$F$26</definedName>
    <definedName name="_20008002">'200'!$G$26</definedName>
    <definedName name="_20008003">'200'!$H$26</definedName>
    <definedName name="_20008004">'200'!$K$26</definedName>
    <definedName name="_20008005">'200'!$L$26</definedName>
    <definedName name="_20008006">'200'!$I$26</definedName>
    <definedName name="_20008501">'200'!$F$28</definedName>
    <definedName name="_20008502">'200'!$G$28</definedName>
    <definedName name="_20008503">'200'!$H$28</definedName>
    <definedName name="_20008504">'200'!$K$28</definedName>
    <definedName name="_20008505">'200'!$L$28</definedName>
    <definedName name="_20008506">'200'!$I$28</definedName>
    <definedName name="_20008601">'200'!$F$30</definedName>
    <definedName name="_20008602">'200'!$G$30</definedName>
    <definedName name="_20008603">'200'!$H$30</definedName>
    <definedName name="_20008604">'200'!$K$30</definedName>
    <definedName name="_20008605">'200'!$L$30</definedName>
    <definedName name="_20008606">'200'!$I$30</definedName>
    <definedName name="_20008701">'200'!$F$32</definedName>
    <definedName name="_20008702">'200'!$G$32</definedName>
    <definedName name="_20008703">'200'!$H$32</definedName>
    <definedName name="_20008704">'200'!$K$32</definedName>
    <definedName name="_20008705">'200'!$L$32</definedName>
    <definedName name="_20008706">'200'!$I$32</definedName>
    <definedName name="_20009001">'200'!$F$34</definedName>
    <definedName name="_20009002">'200'!$G$34</definedName>
    <definedName name="_20009003">'200'!$H$34</definedName>
    <definedName name="_20009004">'200'!$K$34</definedName>
    <definedName name="_20009005">'200'!$L$34</definedName>
    <definedName name="_20009006">'200'!$I$34</definedName>
    <definedName name="_20010006">'200'!$I$30</definedName>
    <definedName name="_201001">'200'!$F$9</definedName>
    <definedName name="_201002">'200'!$G$9</definedName>
    <definedName name="_201004">'200'!$K$9</definedName>
    <definedName name="_201005">'200'!$L$9</definedName>
    <definedName name="_202001">'200'!$F$11</definedName>
    <definedName name="_202002">'200'!$G$11</definedName>
    <definedName name="_202004">'200'!$K$11</definedName>
    <definedName name="_202005">'200'!$L$11</definedName>
    <definedName name="_203001">'200'!$F$13</definedName>
    <definedName name="_203002">'200'!$G$13</definedName>
    <definedName name="_203004">'200'!$K$13</definedName>
    <definedName name="_203005">'200'!$L$13</definedName>
    <definedName name="_204001">'200'!$F$18</definedName>
    <definedName name="_204002">'200'!$G$18</definedName>
    <definedName name="_204004">'200'!$K$18</definedName>
    <definedName name="_204005">'200'!$L$18</definedName>
    <definedName name="_205001">'200'!$F$20</definedName>
    <definedName name="_205002">'200'!$G$20</definedName>
    <definedName name="_205004">'200'!$K$20</definedName>
    <definedName name="_205005">'200'!$L$20</definedName>
    <definedName name="_206001">'200'!$F$22</definedName>
    <definedName name="_206002">'200'!$G$22</definedName>
    <definedName name="_206004">'200'!$K$22</definedName>
    <definedName name="_206005">'200'!$L$22</definedName>
    <definedName name="_207001">'200'!$F$24</definedName>
    <definedName name="_207002">'200'!$G$24</definedName>
    <definedName name="_207004">'200'!$K$24</definedName>
    <definedName name="_207005">'200'!$L$24</definedName>
    <definedName name="_208001">'200'!$F$26</definedName>
    <definedName name="_208002">'200'!$G$26</definedName>
    <definedName name="_208004">'200'!$K$26</definedName>
    <definedName name="_208005">'200'!$L$26</definedName>
    <definedName name="_300010">'300'!$F$4</definedName>
    <definedName name="_300020">'300'!$F$6</definedName>
    <definedName name="_300030">'300'!$F$8</definedName>
    <definedName name="_Ident010">Identification!$E$13</definedName>
    <definedName name="_Ident020">Identification!$E$15</definedName>
    <definedName name="_Ident030">Identification!$F$17</definedName>
    <definedName name="CharteAutre">Parametres!$B$4</definedName>
    <definedName name="CharteCAN">Parametres!$B$3</definedName>
    <definedName name="CharteQC">Parametres!$B$2</definedName>
    <definedName name="Langue">[2]Identification!$W$2</definedName>
    <definedName name="LangueChoisie">Identification!$B$6</definedName>
    <definedName name="LangueEN">Parametres!$A$3</definedName>
    <definedName name="LangueFR">Parametres!$A$2</definedName>
    <definedName name="lt_pId001" localSheetId="3">'200'!$P$48</definedName>
    <definedName name="SeuilMinimal">Parametres!$E$2</definedName>
    <definedName name="TauxPrime">Parametres!$D$2</definedName>
    <definedName name="TauxTaxe">Parametres!$F$2</definedName>
    <definedName name="TauxTaxeEnTxt">Parametres!$G$2</definedName>
    <definedName name="TaxeEnTxt">Parametres!$G$2</definedName>
    <definedName name="_xlnm.Print_Area" localSheetId="0">Identification!$A$1:$P$19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0" i="19" l="1"/>
  <c r="B239" i="19"/>
  <c r="B238" i="19"/>
  <c r="E237" i="19"/>
  <c r="B237" i="19"/>
  <c r="B236" i="19"/>
  <c r="D235" i="19"/>
  <c r="B235" i="19"/>
  <c r="D234" i="19"/>
  <c r="B234" i="19"/>
  <c r="D233" i="19"/>
  <c r="F233" i="19" s="1"/>
  <c r="B233" i="19"/>
  <c r="E232" i="19"/>
  <c r="F232" i="19" s="1"/>
  <c r="D232" i="19"/>
  <c r="B232" i="19"/>
  <c r="D231" i="19"/>
  <c r="B231" i="19"/>
  <c r="D230" i="19"/>
  <c r="F230" i="19" s="1"/>
  <c r="B230" i="19"/>
  <c r="D229" i="19"/>
  <c r="B229" i="19"/>
  <c r="D228" i="19"/>
  <c r="B228" i="19"/>
  <c r="E227" i="19"/>
  <c r="F227" i="19" s="1"/>
  <c r="D227" i="19"/>
  <c r="B227" i="19"/>
  <c r="D226" i="19"/>
  <c r="B226" i="19"/>
  <c r="D225" i="19"/>
  <c r="B225" i="19"/>
  <c r="F224" i="19"/>
  <c r="D224" i="19"/>
  <c r="B224" i="19"/>
  <c r="F223" i="19"/>
  <c r="D223" i="19"/>
  <c r="B223" i="19"/>
  <c r="F222" i="19"/>
  <c r="D222" i="19"/>
  <c r="B222" i="19"/>
  <c r="F221" i="19"/>
  <c r="D221" i="19"/>
  <c r="B221" i="19"/>
  <c r="D220" i="19"/>
  <c r="F220" i="19" s="1"/>
  <c r="B220" i="19"/>
  <c r="D219" i="19"/>
  <c r="F219" i="19" s="1"/>
  <c r="B219" i="19"/>
  <c r="F218" i="19"/>
  <c r="D218" i="19"/>
  <c r="B218" i="19"/>
  <c r="D217" i="19"/>
  <c r="F217" i="19" s="1"/>
  <c r="B217" i="19"/>
  <c r="D216" i="19"/>
  <c r="F216" i="19" s="1"/>
  <c r="B216" i="19"/>
  <c r="D215" i="19"/>
  <c r="F215" i="19" s="1"/>
  <c r="B215" i="19"/>
  <c r="D214" i="19"/>
  <c r="F214" i="19" s="1"/>
  <c r="B214" i="19"/>
  <c r="F213" i="19"/>
  <c r="D213" i="19"/>
  <c r="B213" i="19"/>
  <c r="F212" i="19"/>
  <c r="D212" i="19"/>
  <c r="B212" i="19"/>
  <c r="F211" i="19"/>
  <c r="D211" i="19"/>
  <c r="B211" i="19"/>
  <c r="D210" i="19"/>
  <c r="F210" i="19" s="1"/>
  <c r="B210" i="19"/>
  <c r="D209" i="19"/>
  <c r="F209" i="19" s="1"/>
  <c r="B209" i="19"/>
  <c r="D208" i="19"/>
  <c r="F208" i="19" s="1"/>
  <c r="B208" i="19"/>
  <c r="F207" i="19"/>
  <c r="D207" i="19"/>
  <c r="B207" i="19"/>
  <c r="F206" i="19"/>
  <c r="D206" i="19"/>
  <c r="B206" i="19"/>
  <c r="D205" i="19"/>
  <c r="F205" i="19" s="1"/>
  <c r="B205" i="19"/>
  <c r="F204" i="19"/>
  <c r="D204" i="19"/>
  <c r="B204" i="19"/>
  <c r="F203" i="19"/>
  <c r="D203" i="19"/>
  <c r="B203" i="19"/>
  <c r="F202" i="19"/>
  <c r="D202" i="19"/>
  <c r="B202" i="19"/>
  <c r="F201" i="19"/>
  <c r="D201" i="19"/>
  <c r="B201" i="19"/>
  <c r="D200" i="19"/>
  <c r="F200" i="19" s="1"/>
  <c r="B200" i="19"/>
  <c r="D199" i="19"/>
  <c r="F199" i="19" s="1"/>
  <c r="B199" i="19"/>
  <c r="F198" i="19"/>
  <c r="D198" i="19"/>
  <c r="B198" i="19"/>
  <c r="F197" i="19"/>
  <c r="D197" i="19"/>
  <c r="B197" i="19"/>
  <c r="D196" i="19"/>
  <c r="F196" i="19" s="1"/>
  <c r="B196" i="19"/>
  <c r="D195" i="19"/>
  <c r="F195" i="19" s="1"/>
  <c r="B195" i="19"/>
  <c r="D194" i="19"/>
  <c r="F194" i="19" s="1"/>
  <c r="B194" i="19"/>
  <c r="F193" i="19"/>
  <c r="D193" i="19"/>
  <c r="B193" i="19"/>
  <c r="F192" i="19"/>
  <c r="D192" i="19"/>
  <c r="B192" i="19"/>
  <c r="F191" i="19"/>
  <c r="D191" i="19"/>
  <c r="B191" i="19"/>
  <c r="D190" i="19"/>
  <c r="F190" i="19" s="1"/>
  <c r="B190" i="19"/>
  <c r="D189" i="19"/>
  <c r="F189" i="19" s="1"/>
  <c r="B189" i="19"/>
  <c r="D188" i="19"/>
  <c r="F188" i="19" s="1"/>
  <c r="B188" i="19"/>
  <c r="F187" i="19"/>
  <c r="D187" i="19"/>
  <c r="B187" i="19"/>
  <c r="F186" i="19"/>
  <c r="D186" i="19"/>
  <c r="B186" i="19"/>
  <c r="D185" i="19"/>
  <c r="F185" i="19" s="1"/>
  <c r="B185" i="19"/>
  <c r="F184" i="19"/>
  <c r="D184" i="19"/>
  <c r="B184" i="19"/>
  <c r="F183" i="19"/>
  <c r="D183" i="19"/>
  <c r="B183" i="19"/>
  <c r="F182" i="19"/>
  <c r="D182" i="19"/>
  <c r="B182" i="19"/>
  <c r="F181" i="19"/>
  <c r="D181" i="19"/>
  <c r="B181" i="19"/>
  <c r="D180" i="19"/>
  <c r="F180" i="19" s="1"/>
  <c r="B180" i="19"/>
  <c r="D179" i="19"/>
  <c r="F179" i="19" s="1"/>
  <c r="B179" i="19"/>
  <c r="F178" i="19"/>
  <c r="D178" i="19"/>
  <c r="B178" i="19"/>
  <c r="F177" i="19"/>
  <c r="D177" i="19"/>
  <c r="B177" i="19"/>
  <c r="D176" i="19"/>
  <c r="F176" i="19" s="1"/>
  <c r="B176" i="19"/>
  <c r="D175" i="19"/>
  <c r="F175" i="19" s="1"/>
  <c r="B175" i="19"/>
  <c r="D174" i="19"/>
  <c r="F174" i="19" s="1"/>
  <c r="B174" i="19"/>
  <c r="F173" i="19"/>
  <c r="D173" i="19"/>
  <c r="B173" i="19"/>
  <c r="F172" i="19"/>
  <c r="D172" i="19"/>
  <c r="B172" i="19"/>
  <c r="F171" i="19"/>
  <c r="D171" i="19"/>
  <c r="B171" i="19"/>
  <c r="D170" i="19"/>
  <c r="F170" i="19" s="1"/>
  <c r="B170" i="19"/>
  <c r="D169" i="19"/>
  <c r="F169" i="19" s="1"/>
  <c r="B169" i="19"/>
  <c r="D168" i="19"/>
  <c r="F168" i="19" s="1"/>
  <c r="B168" i="19"/>
  <c r="F167" i="19"/>
  <c r="D167" i="19"/>
  <c r="B167" i="19"/>
  <c r="F166" i="19"/>
  <c r="D166" i="19"/>
  <c r="B166" i="19"/>
  <c r="D165" i="19"/>
  <c r="F165" i="19" s="1"/>
  <c r="B165" i="19"/>
  <c r="D164" i="19"/>
  <c r="F164" i="19" s="1"/>
  <c r="B164" i="19"/>
  <c r="F163" i="19"/>
  <c r="D163" i="19"/>
  <c r="B163" i="19"/>
  <c r="F162" i="19"/>
  <c r="D162" i="19"/>
  <c r="B162" i="19"/>
  <c r="F161" i="19"/>
  <c r="D161" i="19"/>
  <c r="B161" i="19"/>
  <c r="D160" i="19"/>
  <c r="F160" i="19" s="1"/>
  <c r="B160" i="19"/>
  <c r="D159" i="19"/>
  <c r="F159" i="19" s="1"/>
  <c r="B159" i="19"/>
  <c r="F158" i="19"/>
  <c r="D158" i="19"/>
  <c r="B158" i="19"/>
  <c r="F157" i="19"/>
  <c r="D157" i="19"/>
  <c r="B157" i="19"/>
  <c r="D156" i="19"/>
  <c r="F156" i="19" s="1"/>
  <c r="B156" i="19"/>
  <c r="D155" i="19"/>
  <c r="F155" i="19" s="1"/>
  <c r="B155" i="19"/>
  <c r="D154" i="19"/>
  <c r="F154" i="19" s="1"/>
  <c r="B154" i="19"/>
  <c r="F153" i="19"/>
  <c r="D153" i="19"/>
  <c r="B153" i="19"/>
  <c r="F152" i="19"/>
  <c r="D152" i="19"/>
  <c r="B152" i="19"/>
  <c r="F151" i="19"/>
  <c r="D151" i="19"/>
  <c r="B151" i="19"/>
  <c r="D150" i="19"/>
  <c r="F150" i="19" s="1"/>
  <c r="B150" i="19"/>
  <c r="D149" i="19"/>
  <c r="F149" i="19" s="1"/>
  <c r="B149" i="19"/>
  <c r="D148" i="19"/>
  <c r="F148" i="19" s="1"/>
  <c r="B148" i="19"/>
  <c r="F147" i="19"/>
  <c r="D147" i="19"/>
  <c r="B147" i="19"/>
  <c r="F146" i="19"/>
  <c r="D146" i="19"/>
  <c r="B146" i="19"/>
  <c r="D145" i="19"/>
  <c r="F145" i="19" s="1"/>
  <c r="B145" i="19"/>
  <c r="D144" i="19"/>
  <c r="F144" i="19" s="1"/>
  <c r="B144" i="19"/>
  <c r="F143" i="19"/>
  <c r="D143" i="19"/>
  <c r="B143" i="19"/>
  <c r="F142" i="19"/>
  <c r="D142" i="19"/>
  <c r="B142" i="19"/>
  <c r="F141" i="19"/>
  <c r="D141" i="19"/>
  <c r="B141" i="19"/>
  <c r="D140" i="19"/>
  <c r="F140" i="19" s="1"/>
  <c r="B140" i="19"/>
  <c r="D139" i="19"/>
  <c r="F139" i="19" s="1"/>
  <c r="B139" i="19"/>
  <c r="F138" i="19"/>
  <c r="D138" i="19"/>
  <c r="B138" i="19"/>
  <c r="F137" i="19"/>
  <c r="D137" i="19"/>
  <c r="B137" i="19"/>
  <c r="D136" i="19"/>
  <c r="F136" i="19" s="1"/>
  <c r="B136" i="19"/>
  <c r="D135" i="19"/>
  <c r="F135" i="19" s="1"/>
  <c r="B135" i="19"/>
  <c r="D134" i="19"/>
  <c r="F134" i="19" s="1"/>
  <c r="B134" i="19"/>
  <c r="F133" i="19"/>
  <c r="D133" i="19"/>
  <c r="B133" i="19"/>
  <c r="F132" i="19"/>
  <c r="D132" i="19"/>
  <c r="B132" i="19"/>
  <c r="F131" i="19"/>
  <c r="D131" i="19"/>
  <c r="B131" i="19"/>
  <c r="D130" i="19"/>
  <c r="F130" i="19" s="1"/>
  <c r="B130" i="19"/>
  <c r="D129" i="19"/>
  <c r="F129" i="19" s="1"/>
  <c r="B129" i="19"/>
  <c r="D128" i="19"/>
  <c r="F128" i="19" s="1"/>
  <c r="B128" i="19"/>
  <c r="F127" i="19"/>
  <c r="D127" i="19"/>
  <c r="B127" i="19"/>
  <c r="F126" i="19"/>
  <c r="D126" i="19"/>
  <c r="B126" i="19"/>
  <c r="D125" i="19"/>
  <c r="F125" i="19" s="1"/>
  <c r="B125" i="19"/>
  <c r="D124" i="19"/>
  <c r="F124" i="19" s="1"/>
  <c r="B124" i="19"/>
  <c r="F123" i="19"/>
  <c r="D123" i="19"/>
  <c r="B123" i="19"/>
  <c r="F122" i="19"/>
  <c r="D122" i="19"/>
  <c r="B122" i="19"/>
  <c r="F121" i="19"/>
  <c r="D121" i="19"/>
  <c r="B121" i="19"/>
  <c r="D120" i="19"/>
  <c r="F120" i="19" s="1"/>
  <c r="B120" i="19"/>
  <c r="D119" i="19"/>
  <c r="F119" i="19" s="1"/>
  <c r="B119" i="19"/>
  <c r="D118" i="19"/>
  <c r="F118" i="19" s="1"/>
  <c r="B118" i="19"/>
  <c r="F117" i="19"/>
  <c r="D117" i="19"/>
  <c r="B117" i="19"/>
  <c r="D116" i="19"/>
  <c r="F116" i="19" s="1"/>
  <c r="B116" i="19"/>
  <c r="D115" i="19"/>
  <c r="F115" i="19" s="1"/>
  <c r="B115" i="19"/>
  <c r="B114" i="19"/>
  <c r="B113" i="19"/>
  <c r="B112" i="19"/>
  <c r="E111" i="19"/>
  <c r="D111" i="19"/>
  <c r="F111" i="19" s="1"/>
  <c r="B111" i="19"/>
  <c r="F110" i="19"/>
  <c r="E110" i="19"/>
  <c r="D110" i="19"/>
  <c r="B110" i="19"/>
  <c r="E109" i="19"/>
  <c r="F109" i="19" s="1"/>
  <c r="D109" i="19"/>
  <c r="B109" i="19"/>
  <c r="E108" i="19"/>
  <c r="D108" i="19"/>
  <c r="F108" i="19" s="1"/>
  <c r="B108" i="19"/>
  <c r="E107" i="19"/>
  <c r="F107" i="19" s="1"/>
  <c r="D107" i="19"/>
  <c r="B107" i="19"/>
  <c r="E106" i="19"/>
  <c r="D106" i="19"/>
  <c r="F106" i="19" s="1"/>
  <c r="B106" i="19"/>
  <c r="F105" i="19"/>
  <c r="E105" i="19"/>
  <c r="D105" i="19"/>
  <c r="B105" i="19"/>
  <c r="E104" i="19"/>
  <c r="F104" i="19" s="1"/>
  <c r="D104" i="19"/>
  <c r="B104" i="19"/>
  <c r="E103" i="19"/>
  <c r="D103" i="19"/>
  <c r="F103" i="19" s="1"/>
  <c r="B103" i="19"/>
  <c r="E102" i="19"/>
  <c r="F102" i="19" s="1"/>
  <c r="D102" i="19"/>
  <c r="B102" i="19"/>
  <c r="E101" i="19"/>
  <c r="D101" i="19"/>
  <c r="F101" i="19" s="1"/>
  <c r="B101" i="19"/>
  <c r="F100" i="19"/>
  <c r="E100" i="19"/>
  <c r="D100" i="19"/>
  <c r="B100" i="19"/>
  <c r="E99" i="19"/>
  <c r="F99" i="19" s="1"/>
  <c r="D99" i="19"/>
  <c r="B99" i="19"/>
  <c r="E98" i="19"/>
  <c r="D98" i="19"/>
  <c r="F98" i="19" s="1"/>
  <c r="B98" i="19"/>
  <c r="E97" i="19"/>
  <c r="F97" i="19" s="1"/>
  <c r="D97" i="19"/>
  <c r="B97" i="19"/>
  <c r="E96" i="19"/>
  <c r="D96" i="19"/>
  <c r="F96" i="19" s="1"/>
  <c r="B96" i="19"/>
  <c r="F95" i="19"/>
  <c r="E95" i="19"/>
  <c r="D95" i="19"/>
  <c r="B95" i="19"/>
  <c r="E94" i="19"/>
  <c r="F94" i="19" s="1"/>
  <c r="D94" i="19"/>
  <c r="B94" i="19"/>
  <c r="E93" i="19"/>
  <c r="D93" i="19"/>
  <c r="F93" i="19" s="1"/>
  <c r="B93" i="19"/>
  <c r="E92" i="19"/>
  <c r="F92" i="19" s="1"/>
  <c r="D92" i="19"/>
  <c r="B92" i="19"/>
  <c r="E91" i="19"/>
  <c r="D91" i="19"/>
  <c r="F91" i="19" s="1"/>
  <c r="B91" i="19"/>
  <c r="F90" i="19"/>
  <c r="E90" i="19"/>
  <c r="D90" i="19"/>
  <c r="B90" i="19"/>
  <c r="E89" i="19"/>
  <c r="F89" i="19" s="1"/>
  <c r="D89" i="19"/>
  <c r="B89" i="19"/>
  <c r="E88" i="19"/>
  <c r="D88" i="19"/>
  <c r="F88" i="19" s="1"/>
  <c r="B88" i="19"/>
  <c r="E87" i="19"/>
  <c r="F87" i="19" s="1"/>
  <c r="D87" i="19"/>
  <c r="B87" i="19"/>
  <c r="E86" i="19"/>
  <c r="D86" i="19"/>
  <c r="F86" i="19" s="1"/>
  <c r="B86" i="19"/>
  <c r="F85" i="19"/>
  <c r="E85" i="19"/>
  <c r="D85" i="19"/>
  <c r="B85" i="19"/>
  <c r="E84" i="19"/>
  <c r="F84" i="19" s="1"/>
  <c r="D84" i="19"/>
  <c r="B84" i="19"/>
  <c r="E83" i="19"/>
  <c r="D83" i="19"/>
  <c r="F83" i="19" s="1"/>
  <c r="B83" i="19"/>
  <c r="E82" i="19"/>
  <c r="F82" i="19" s="1"/>
  <c r="D82" i="19"/>
  <c r="B82" i="19"/>
  <c r="E81" i="19"/>
  <c r="D81" i="19"/>
  <c r="F81" i="19" s="1"/>
  <c r="B81" i="19"/>
  <c r="F80" i="19"/>
  <c r="E80" i="19"/>
  <c r="D80" i="19"/>
  <c r="B80" i="19"/>
  <c r="E79" i="19"/>
  <c r="F79" i="19" s="1"/>
  <c r="D79" i="19"/>
  <c r="B79" i="19"/>
  <c r="E78" i="19"/>
  <c r="D78" i="19"/>
  <c r="F78" i="19" s="1"/>
  <c r="B78" i="19"/>
  <c r="E77" i="19"/>
  <c r="F77" i="19" s="1"/>
  <c r="D77" i="19"/>
  <c r="B77" i="19"/>
  <c r="E76" i="19"/>
  <c r="D76" i="19"/>
  <c r="F76" i="19" s="1"/>
  <c r="B76" i="19"/>
  <c r="F75" i="19"/>
  <c r="E75" i="19"/>
  <c r="D75" i="19"/>
  <c r="B75" i="19"/>
  <c r="E74" i="19"/>
  <c r="F74" i="19" s="1"/>
  <c r="D74" i="19"/>
  <c r="B74" i="19"/>
  <c r="E73" i="19"/>
  <c r="D73" i="19"/>
  <c r="F73" i="19" s="1"/>
  <c r="B73" i="19"/>
  <c r="E72" i="19"/>
  <c r="F72" i="19" s="1"/>
  <c r="D72" i="19"/>
  <c r="B72" i="19"/>
  <c r="E71" i="19"/>
  <c r="D71" i="19"/>
  <c r="F71" i="19" s="1"/>
  <c r="B71" i="19"/>
  <c r="F70" i="19"/>
  <c r="E70" i="19"/>
  <c r="D70" i="19"/>
  <c r="B70" i="19"/>
  <c r="E69" i="19"/>
  <c r="F69" i="19" s="1"/>
  <c r="D69" i="19"/>
  <c r="B69" i="19"/>
  <c r="E68" i="19"/>
  <c r="D68" i="19"/>
  <c r="F68" i="19" s="1"/>
  <c r="B68" i="19"/>
  <c r="E67" i="19"/>
  <c r="F67" i="19" s="1"/>
  <c r="D67" i="19"/>
  <c r="B67" i="19"/>
  <c r="E66" i="19"/>
  <c r="D66" i="19"/>
  <c r="F66" i="19" s="1"/>
  <c r="B66" i="19"/>
  <c r="F65" i="19"/>
  <c r="E65" i="19"/>
  <c r="D65" i="19"/>
  <c r="B65" i="19"/>
  <c r="E64" i="19"/>
  <c r="F64" i="19" s="1"/>
  <c r="D64" i="19"/>
  <c r="B64" i="19"/>
  <c r="E63" i="19"/>
  <c r="D63" i="19"/>
  <c r="F63" i="19" s="1"/>
  <c r="B63" i="19"/>
  <c r="E62" i="19"/>
  <c r="F62" i="19" s="1"/>
  <c r="D62" i="19"/>
  <c r="B62" i="19"/>
  <c r="E61" i="19"/>
  <c r="D61" i="19"/>
  <c r="F61" i="19" s="1"/>
  <c r="B61" i="19"/>
  <c r="F60" i="19"/>
  <c r="E60" i="19"/>
  <c r="D60" i="19"/>
  <c r="B60" i="19"/>
  <c r="E59" i="19"/>
  <c r="F59" i="19" s="1"/>
  <c r="D59" i="19"/>
  <c r="B59" i="19"/>
  <c r="E58" i="19"/>
  <c r="D58" i="19"/>
  <c r="F58" i="19" s="1"/>
  <c r="B58" i="19"/>
  <c r="E57" i="19"/>
  <c r="F57" i="19" s="1"/>
  <c r="D57" i="19"/>
  <c r="B57" i="19"/>
  <c r="E56" i="19"/>
  <c r="B56" i="19"/>
  <c r="E55" i="19"/>
  <c r="B55" i="19"/>
  <c r="B54" i="19"/>
  <c r="E53" i="19"/>
  <c r="B53" i="19"/>
  <c r="E52" i="19"/>
  <c r="B52" i="19"/>
  <c r="E51" i="19"/>
  <c r="B51" i="19"/>
  <c r="F50" i="19"/>
  <c r="E50" i="19"/>
  <c r="D50" i="19"/>
  <c r="B50" i="19"/>
  <c r="E49" i="19"/>
  <c r="F49" i="19" s="1"/>
  <c r="D49" i="19"/>
  <c r="B49" i="19"/>
  <c r="E48" i="19"/>
  <c r="D48" i="19"/>
  <c r="F48" i="19" s="1"/>
  <c r="B48" i="19"/>
  <c r="E47" i="19"/>
  <c r="B47" i="19"/>
  <c r="E46" i="19"/>
  <c r="B46" i="19"/>
  <c r="E45" i="19"/>
  <c r="B45" i="19"/>
  <c r="E44" i="19"/>
  <c r="B44" i="19"/>
  <c r="E43" i="19"/>
  <c r="D43" i="19"/>
  <c r="F43" i="19" s="1"/>
  <c r="B43" i="19"/>
  <c r="E42" i="19"/>
  <c r="B42" i="19"/>
  <c r="E41" i="19"/>
  <c r="B41" i="19"/>
  <c r="F40" i="19"/>
  <c r="E40" i="19"/>
  <c r="D40" i="19"/>
  <c r="B40" i="19"/>
  <c r="E39" i="19"/>
  <c r="B39" i="19"/>
  <c r="E38" i="19"/>
  <c r="B38" i="19"/>
  <c r="E37" i="19"/>
  <c r="F37" i="19" s="1"/>
  <c r="D37" i="19"/>
  <c r="B37" i="19"/>
  <c r="E36" i="19"/>
  <c r="F36" i="19" s="1"/>
  <c r="D36" i="19"/>
  <c r="B36" i="19"/>
  <c r="E35" i="19"/>
  <c r="B35" i="19"/>
  <c r="E34" i="19"/>
  <c r="B34" i="19"/>
  <c r="E33" i="19"/>
  <c r="D33" i="19"/>
  <c r="F33" i="19" s="1"/>
  <c r="B33" i="19"/>
  <c r="E32" i="19"/>
  <c r="F32" i="19" s="1"/>
  <c r="D32" i="19"/>
  <c r="B32" i="19"/>
  <c r="D31" i="19"/>
  <c r="B31" i="19"/>
  <c r="D30" i="19"/>
  <c r="B30" i="19"/>
  <c r="E29" i="19"/>
  <c r="F29" i="19" s="1"/>
  <c r="D29" i="19"/>
  <c r="B29" i="19"/>
  <c r="E28" i="19"/>
  <c r="D28" i="19"/>
  <c r="F28" i="19" s="1"/>
  <c r="B28" i="19"/>
  <c r="E27" i="19"/>
  <c r="F27" i="19" s="1"/>
  <c r="D27" i="19"/>
  <c r="B27" i="19"/>
  <c r="D26" i="19"/>
  <c r="F26" i="19" s="1"/>
  <c r="B26" i="19"/>
  <c r="D25" i="19"/>
  <c r="F25" i="19" s="1"/>
  <c r="B25" i="19"/>
  <c r="D24" i="19"/>
  <c r="F24" i="19" s="1"/>
  <c r="B24" i="19"/>
  <c r="F23" i="19"/>
  <c r="D23" i="19"/>
  <c r="B23" i="19"/>
  <c r="F22" i="19"/>
  <c r="D22" i="19"/>
  <c r="B22" i="19"/>
  <c r="F21" i="19"/>
  <c r="D21" i="19"/>
  <c r="B21" i="19"/>
  <c r="D20" i="19"/>
  <c r="F20" i="19" s="1"/>
  <c r="B20" i="19"/>
  <c r="F19" i="19"/>
  <c r="D19" i="19"/>
  <c r="B19" i="19"/>
  <c r="F18" i="19"/>
  <c r="D18" i="19"/>
  <c r="B18" i="19"/>
  <c r="F17" i="19"/>
  <c r="D17" i="19"/>
  <c r="B17" i="19"/>
  <c r="D16" i="19"/>
  <c r="F16" i="19" s="1"/>
  <c r="B16" i="19"/>
  <c r="D15" i="19"/>
  <c r="F15" i="19" s="1"/>
  <c r="B15" i="19"/>
  <c r="B14" i="19"/>
  <c r="B13" i="19"/>
  <c r="B12" i="19"/>
  <c r="E11" i="19"/>
  <c r="B11" i="19"/>
  <c r="E10" i="19"/>
  <c r="B10" i="19"/>
  <c r="B9" i="19"/>
  <c r="E8" i="19"/>
  <c r="B8" i="19"/>
  <c r="F7" i="19"/>
  <c r="E7" i="19"/>
  <c r="D7" i="19"/>
  <c r="B7" i="19"/>
  <c r="E6" i="19"/>
  <c r="B6" i="19"/>
  <c r="E5" i="19"/>
  <c r="D5" i="19"/>
  <c r="F5" i="19" s="1"/>
  <c r="B5" i="19"/>
  <c r="E4" i="19"/>
  <c r="F4" i="19" s="1"/>
  <c r="D4" i="19"/>
  <c r="B4" i="19"/>
  <c r="D3" i="19"/>
  <c r="F3" i="19" s="1"/>
  <c r="B3" i="19"/>
  <c r="D2" i="19"/>
  <c r="F2" i="19" s="1"/>
  <c r="B2" i="19"/>
  <c r="C18" i="13"/>
  <c r="C16" i="13"/>
  <c r="C14" i="13"/>
  <c r="C12" i="13"/>
  <c r="C10" i="13"/>
  <c r="C6" i="13"/>
  <c r="C4" i="13"/>
  <c r="C53" i="14"/>
  <c r="C51" i="14"/>
  <c r="C49" i="14"/>
  <c r="C47" i="14"/>
  <c r="I45" i="14"/>
  <c r="I44" i="14"/>
  <c r="I43" i="14"/>
  <c r="I42" i="14"/>
  <c r="C42" i="14"/>
  <c r="C41" i="14"/>
  <c r="C39" i="14"/>
  <c r="C37" i="14"/>
  <c r="L34" i="14"/>
  <c r="D56" i="19" s="1"/>
  <c r="F56" i="19" s="1"/>
  <c r="K34" i="14"/>
  <c r="D55" i="19" s="1"/>
  <c r="F55" i="19" s="1"/>
  <c r="I34" i="14"/>
  <c r="D237" i="19" s="1"/>
  <c r="F237" i="19" s="1"/>
  <c r="G34" i="14"/>
  <c r="D113" i="19" s="1"/>
  <c r="F113" i="19" s="1"/>
  <c r="H32" i="14"/>
  <c r="E235" i="19" s="1"/>
  <c r="C32" i="14"/>
  <c r="H30" i="14"/>
  <c r="E234" i="19" s="1"/>
  <c r="F234" i="19" s="1"/>
  <c r="C30" i="14"/>
  <c r="H28" i="14"/>
  <c r="E233" i="19" s="1"/>
  <c r="C28" i="14"/>
  <c r="H26" i="14"/>
  <c r="C26" i="14"/>
  <c r="H24" i="14"/>
  <c r="D47" i="19" s="1"/>
  <c r="F47" i="19" s="1"/>
  <c r="C24" i="14"/>
  <c r="H22" i="14"/>
  <c r="E230" i="19" s="1"/>
  <c r="C22" i="14"/>
  <c r="H20" i="14"/>
  <c r="E229" i="19" s="1"/>
  <c r="F229" i="19" s="1"/>
  <c r="C20" i="14"/>
  <c r="H18" i="14"/>
  <c r="E228" i="19" s="1"/>
  <c r="C18" i="14"/>
  <c r="L16" i="14"/>
  <c r="K16" i="14"/>
  <c r="D42" i="19" s="1"/>
  <c r="F42" i="19" s="1"/>
  <c r="F16" i="14"/>
  <c r="L15" i="14"/>
  <c r="D41" i="19" s="1"/>
  <c r="F41" i="19" s="1"/>
  <c r="K15" i="14"/>
  <c r="F15" i="14"/>
  <c r="L14" i="14"/>
  <c r="D39" i="19" s="1"/>
  <c r="F39" i="19" s="1"/>
  <c r="K14" i="14"/>
  <c r="D38" i="19" s="1"/>
  <c r="F38" i="19" s="1"/>
  <c r="F14" i="14"/>
  <c r="H13" i="14"/>
  <c r="D35" i="19" s="1"/>
  <c r="F35" i="19" s="1"/>
  <c r="C13" i="14"/>
  <c r="H11" i="14"/>
  <c r="D34" i="19" s="1"/>
  <c r="F34" i="19" s="1"/>
  <c r="C11" i="14"/>
  <c r="H9" i="14"/>
  <c r="E225" i="19" s="1"/>
  <c r="C9" i="14"/>
  <c r="I6" i="14"/>
  <c r="G6" i="14"/>
  <c r="F6" i="14"/>
  <c r="K5" i="14"/>
  <c r="F5" i="14"/>
  <c r="C41" i="11"/>
  <c r="C38" i="11"/>
  <c r="C36" i="11"/>
  <c r="C34" i="11"/>
  <c r="C32" i="11"/>
  <c r="C30" i="11"/>
  <c r="C28" i="11"/>
  <c r="C23" i="11"/>
  <c r="F20" i="11"/>
  <c r="D11" i="19" s="1"/>
  <c r="F11" i="19" s="1"/>
  <c r="C20" i="11"/>
  <c r="J17" i="11"/>
  <c r="E113" i="19" s="1"/>
  <c r="C17" i="11"/>
  <c r="H14" i="11"/>
  <c r="E31" i="19" s="1"/>
  <c r="F14" i="11"/>
  <c r="E30" i="19" s="1"/>
  <c r="F30" i="19" s="1"/>
  <c r="C14" i="11"/>
  <c r="J11" i="11"/>
  <c r="E9" i="19" s="1"/>
  <c r="C11" i="11"/>
  <c r="J8" i="11"/>
  <c r="J14" i="11" s="1"/>
  <c r="J5" i="11"/>
  <c r="H5" i="11"/>
  <c r="C5" i="11"/>
  <c r="B1" i="11"/>
  <c r="C18" i="12"/>
  <c r="B18" i="12"/>
  <c r="C17" i="12"/>
  <c r="C16" i="12"/>
  <c r="C15" i="12"/>
  <c r="C14" i="12"/>
  <c r="B13" i="12"/>
  <c r="C11" i="12"/>
  <c r="B2" i="13" s="1"/>
  <c r="C10" i="12"/>
  <c r="C9" i="12"/>
  <c r="B7" i="12"/>
  <c r="B6" i="12"/>
  <c r="B1" i="13" s="1"/>
  <c r="E17" i="10"/>
  <c r="C17" i="10"/>
  <c r="C15" i="10"/>
  <c r="C13" i="10"/>
  <c r="B10" i="10"/>
  <c r="B9" i="10"/>
  <c r="B8" i="10"/>
  <c r="F34" i="14" l="1"/>
  <c r="D52" i="19" s="1"/>
  <c r="F52" i="19" s="1"/>
  <c r="B2" i="11"/>
  <c r="C8" i="11"/>
  <c r="F5" i="11" s="1"/>
  <c r="B2" i="14"/>
  <c r="F225" i="19"/>
  <c r="D9" i="19"/>
  <c r="F9" i="19" s="1"/>
  <c r="E13" i="19"/>
  <c r="J20" i="11"/>
  <c r="E114" i="19"/>
  <c r="F235" i="19"/>
  <c r="F31" i="19"/>
  <c r="F228" i="19"/>
  <c r="D10" i="19"/>
  <c r="F10" i="19" s="1"/>
  <c r="D53" i="19"/>
  <c r="F53" i="19" s="1"/>
  <c r="B1" i="14"/>
  <c r="C5" i="14"/>
  <c r="D236" i="19"/>
  <c r="E226" i="19"/>
  <c r="F226" i="19" s="1"/>
  <c r="E231" i="19"/>
  <c r="F231" i="19" s="1"/>
  <c r="D6" i="19"/>
  <c r="F6" i="19" s="1"/>
  <c r="D44" i="19"/>
  <c r="F44" i="19" s="1"/>
  <c r="D45" i="19"/>
  <c r="F45" i="19" s="1"/>
  <c r="H20" i="11"/>
  <c r="D12" i="19" s="1"/>
  <c r="E12" i="19"/>
  <c r="D8" i="19"/>
  <c r="F8" i="19" s="1"/>
  <c r="D46" i="19"/>
  <c r="F46" i="19" s="1"/>
  <c r="D51" i="19"/>
  <c r="F51" i="19" s="1"/>
  <c r="E54" i="19" l="1"/>
  <c r="D112" i="19"/>
  <c r="H34" i="14"/>
  <c r="D114" i="19"/>
  <c r="F114" i="19" s="1"/>
  <c r="D54" i="19"/>
  <c r="F54" i="19" s="1"/>
  <c r="E236" i="19"/>
  <c r="F236" i="19" s="1"/>
  <c r="E112" i="19"/>
  <c r="F112" i="19" s="1"/>
  <c r="E14" i="19"/>
  <c r="D13" i="19"/>
  <c r="F13" i="19" s="1"/>
  <c r="J23" i="11"/>
  <c r="F4" i="13"/>
  <c r="F12" i="19"/>
  <c r="E239" i="19" l="1"/>
  <c r="D238" i="19"/>
  <c r="F8" i="13"/>
  <c r="D240" i="19" s="1"/>
  <c r="F6" i="13"/>
  <c r="D239" i="19" s="1"/>
  <c r="F239" i="19" s="1"/>
  <c r="D14" i="19"/>
  <c r="F14" i="19" s="1"/>
  <c r="E238" i="19"/>
  <c r="F238" i="19" l="1"/>
  <c r="E240" i="19"/>
  <c r="F240" i="19" s="1"/>
</calcChain>
</file>

<file path=xl/sharedStrings.xml><?xml version="1.0" encoding="utf-8"?>
<sst xmlns="http://schemas.openxmlformats.org/spreadsheetml/2006/main" count="1438" uniqueCount="919">
  <si>
    <t>Québec</t>
  </si>
  <si>
    <t>Nom de l'institution :</t>
  </si>
  <si>
    <t>≤ 100 000 $</t>
  </si>
  <si>
    <t>&gt; 100 000 $</t>
  </si>
  <si>
    <t>Langue</t>
  </si>
  <si>
    <t>Formulaire français</t>
  </si>
  <si>
    <t>English form</t>
  </si>
  <si>
    <t>Charte de l'institution :</t>
  </si>
  <si>
    <t>010</t>
  </si>
  <si>
    <t>020</t>
  </si>
  <si>
    <t>030</t>
  </si>
  <si>
    <t>30 avril</t>
  </si>
  <si>
    <t>DÉCLARATION DES DÉPÔTS GARANTIS</t>
  </si>
  <si>
    <t>Année</t>
  </si>
  <si>
    <t>Charte</t>
  </si>
  <si>
    <t>Canada</t>
  </si>
  <si>
    <t>Texte FR 1</t>
  </si>
  <si>
    <t>Texte FR 2</t>
  </si>
  <si>
    <t>Texte EN 1</t>
  </si>
  <si>
    <t>AVEC PRIME</t>
  </si>
  <si>
    <t>SANS PRIME</t>
  </si>
  <si>
    <t>WITHOUT PREMIUM</t>
  </si>
  <si>
    <t>Texte EN 2</t>
  </si>
  <si>
    <t>WITH PREMIUM</t>
  </si>
  <si>
    <t>TABLE DES MATIÈRES</t>
  </si>
  <si>
    <t>TABLE OF CONTENTS</t>
  </si>
  <si>
    <t>Page</t>
  </si>
  <si>
    <t>LÉGENDE</t>
  </si>
  <si>
    <t>LEGEND</t>
  </si>
  <si>
    <t>Champ de saisie</t>
  </si>
  <si>
    <t>Input field</t>
  </si>
  <si>
    <t>Champ verrouillé - Vide</t>
  </si>
  <si>
    <t>Locked field - Empty</t>
  </si>
  <si>
    <t>*</t>
  </si>
  <si>
    <t>Lien hypertexte</t>
  </si>
  <si>
    <t>Hyperlink</t>
  </si>
  <si>
    <t>Souligné</t>
  </si>
  <si>
    <t>Underlined</t>
  </si>
  <si>
    <t>Déclaration des dépôts</t>
  </si>
  <si>
    <t>Calcul de prime</t>
  </si>
  <si>
    <t>(02)</t>
  </si>
  <si>
    <t>(01)</t>
  </si>
  <si>
    <t>(03)</t>
  </si>
  <si>
    <t>Total des dépôts</t>
  </si>
  <si>
    <t>Dépôts reçus à l'extérieur du Québec</t>
  </si>
  <si>
    <t>Total des dépôts garantis</t>
  </si>
  <si>
    <t>040</t>
  </si>
  <si>
    <t>050</t>
  </si>
  <si>
    <t>060</t>
  </si>
  <si>
    <t>Champ verrouillé</t>
  </si>
  <si>
    <t>Locked field</t>
  </si>
  <si>
    <t>Champ verrouillé - Formule ou report</t>
  </si>
  <si>
    <t>Total deposits</t>
  </si>
  <si>
    <t>Deposits received outside Québec</t>
  </si>
  <si>
    <t>Dépôts reçus au Québec
(03 = 01 - 02)</t>
  </si>
  <si>
    <t xml:space="preserve">Dépôts en date du </t>
  </si>
  <si>
    <t>Total guaranteed deposits</t>
  </si>
  <si>
    <t>†</t>
  </si>
  <si>
    <t>Deposits received
in Québec
(03 = 01 - 02)</t>
  </si>
  <si>
    <t>Remarques</t>
  </si>
  <si>
    <t>(04)</t>
  </si>
  <si>
    <t>(05)</t>
  </si>
  <si>
    <t>(03) = (01) + (02)</t>
  </si>
  <si>
    <t>070</t>
  </si>
  <si>
    <t>080</t>
  </si>
  <si>
    <t>090</t>
  </si>
  <si>
    <t>2-Dépôts conjoints</t>
  </si>
  <si>
    <t>3-Dépôts en fiducie</t>
  </si>
  <si>
    <t>4-Dépôts en vertu d'un mandat</t>
  </si>
  <si>
    <t>5-REER</t>
  </si>
  <si>
    <t>6-FERR</t>
  </si>
  <si>
    <t>7-CELI</t>
  </si>
  <si>
    <t>8-Comptes d'impôts fonciers</t>
  </si>
  <si>
    <t>031</t>
  </si>
  <si>
    <t>032</t>
  </si>
  <si>
    <t>033</t>
  </si>
  <si>
    <t>Nombre de bénéficiaires :</t>
  </si>
  <si>
    <t>Nombre de comptes en fiducie:</t>
  </si>
  <si>
    <t>Nombre de clients avec des comptes en fiducie:</t>
  </si>
  <si>
    <t>Nombre de comptes en fiducie</t>
  </si>
  <si>
    <t>Nombre de clients ayant des comptes en fiducie</t>
  </si>
  <si>
    <t>Nombre de bénéficiaires</t>
  </si>
  <si>
    <t>Number of trust accounts clients</t>
  </si>
  <si>
    <t>Number of beneficiaries</t>
  </si>
  <si>
    <t>Number of trust accounts</t>
  </si>
  <si>
    <t>1-Basic protection</t>
  </si>
  <si>
    <t>2-Joint deposits</t>
  </si>
  <si>
    <t>3-Trust deposits</t>
  </si>
  <si>
    <t>4-Deposits under a mandate</t>
  </si>
  <si>
    <t>5-RRSPs</t>
  </si>
  <si>
    <t>6-RRIFs</t>
  </si>
  <si>
    <t>7-TFSAs</t>
  </si>
  <si>
    <t>MASQUER CES COLONNES (MAIS PAS LA P)</t>
  </si>
  <si>
    <t>Total :</t>
  </si>
  <si>
    <t>Le présent document n'est pas un bordereau de paiement.</t>
  </si>
  <si>
    <t>‡</t>
  </si>
  <si>
    <t>Ce montant n'inclut pas la taxe sur les primes d'assurances. 
Se référer à la section 300 pour connaître le montant exact à payer.</t>
  </si>
  <si>
    <t>This document is not a remittance slip.</t>
  </si>
  <si>
    <t>Message F</t>
  </si>
  <si>
    <t>Message E</t>
  </si>
  <si>
    <t>Le champ 100-010-01 doit être ≥ 0</t>
  </si>
  <si>
    <t>Le champ 100-010-02 doit être ≥ 0</t>
  </si>
  <si>
    <t>Le champ 100-020-01 doit être ≥ 0</t>
  </si>
  <si>
    <t>Le champ 100-020-02 doit être ≥ 0</t>
  </si>
  <si>
    <t>Le champ 100-040-01 doit être ≥ 0</t>
  </si>
  <si>
    <t>Le champ 100-040-02 doit être ≥ 0</t>
  </si>
  <si>
    <t>Le champ 100-010-02 doit être ≤ à 100-010-01</t>
  </si>
  <si>
    <t>Le champ 100-020-02 doit être ≤ à 100-010-02</t>
  </si>
  <si>
    <t>Le champ 100-020-01 doit être ≤ à 100-010-01</t>
  </si>
  <si>
    <t>Le champ 100-040-01 doit être ≤ à 100-030-01</t>
  </si>
  <si>
    <t>Le champ 100-040-02 doit être ≤ à 100-030-02</t>
  </si>
  <si>
    <t>Le champ 100-040-02 doit être ≤ à 100-040-01</t>
  </si>
  <si>
    <t>Le résultat du calcul des dépôts reçus au Québec est incorrect (100-010-03)</t>
  </si>
  <si>
    <t>Le résultat du calcul des dépôts non-assurables reçus au Québec est incorrect (100-020-03)</t>
  </si>
  <si>
    <t>Le résultat du calcul du sous-total des dépôts assurables est incorrect (100-030-01)</t>
  </si>
  <si>
    <t>Le résultat du calcul du sous-total des dépôts assurables reçus à l'extérieur du Québec est incorrect (100-030-02)</t>
  </si>
  <si>
    <t>Le résultat du calcul du sous-total des dépôts assurables reçus au Québec est incorrect (100-030-03)</t>
  </si>
  <si>
    <t>Le résultat du calcul du montant excédant 100 000$ par personne est incorrect (100-040-03)</t>
  </si>
  <si>
    <t>Le résultat du calcul du total des dépôts garantis est incorrect (100-050-01)</t>
  </si>
  <si>
    <t>Le résultat du calcul du total des dépôts garantis reçus à l'extérieur du Québec est incorrect (100-050-02)</t>
  </si>
  <si>
    <t>Le résultat du calcul du total des dépôts garantis reçus au Québec est incorrect (100-050-03)</t>
  </si>
  <si>
    <t>Le résultat du calcul de la prime payable (annexe 100) est incorrect (100-060-03)</t>
  </si>
  <si>
    <t>L'addition des garanties de base donne un résultat incorrect (200-010-03)</t>
  </si>
  <si>
    <t>L'addition des dépôts conjoints donne un résultat incorrect (200-020-03)</t>
  </si>
  <si>
    <t>L'addition des dépôts en fiducie retourne un résultat incorrect (200-030-03)</t>
  </si>
  <si>
    <t>L'addition des dépôts en vertu d'un mandat retourne un résultat incorrect (200-040-03)</t>
  </si>
  <si>
    <t>L'addition des REER retourne un résultat incorrect (200-050-03)</t>
  </si>
  <si>
    <t>L'addition des FERR retourne un résultat incorrect (200-060-03)</t>
  </si>
  <si>
    <t>L'addition des CELI retourne un résultat incorrect (200-070-03)</t>
  </si>
  <si>
    <t>L'addition des comptes d'impôt foncier retourne un résultat incorrect (200-080-03)</t>
  </si>
  <si>
    <t>L'addition des dépôts ≤ 100 000 $ retourne un résultat incorrect (200-090-01)</t>
  </si>
  <si>
    <t>L'addition des dépôts &gt; 100 000 $ retourne un résultat incorrect (200-090-02)</t>
  </si>
  <si>
    <t>L'addition de tous les dépots retourne un résultat incorrect (200-090-03)</t>
  </si>
  <si>
    <t>L'addition du nombre de déposants ≤ 100 000 $ retourne un résultat incorrect (200-090-04)</t>
  </si>
  <si>
    <t>L'addition du nombre de déposants &gt; 100 000 $ retourne un résultat incorrect (200-090-05)</t>
  </si>
  <si>
    <t>La prime payable (sans taxe) de l'annexe 100 ne concorde pas avec celle de l'annexe 300 (300-010)</t>
  </si>
  <si>
    <t>Le calcul de la taxe sur la prime retourne un résultat incorrect (300-020)</t>
  </si>
  <si>
    <t>L'addition de la prime payable et de la taxe retourne un résultat incorrect (300-030)</t>
  </si>
  <si>
    <t>Le champ 200-010-01 doit être ≥ 0</t>
  </si>
  <si>
    <t>Le champ 200-010-02 doit être ≥ 0</t>
  </si>
  <si>
    <t>Le champ 200-010-04 doit être ≥ 0</t>
  </si>
  <si>
    <t>Le champ 200-010-05 doit être ≥ 0</t>
  </si>
  <si>
    <t>Le champ 200-020-01 doit être ≥ 0</t>
  </si>
  <si>
    <t>Le champ 200-020-02 doit être ≥ 0</t>
  </si>
  <si>
    <t>Le champ 200-020-04 doit être ≥ 0</t>
  </si>
  <si>
    <t>Le champ 200-020-05 doit être ≥ 0</t>
  </si>
  <si>
    <t>Le champ 200-030-01 doit être ≥ 0</t>
  </si>
  <si>
    <t>Le champ 200-030-02 doit être ≥ 0</t>
  </si>
  <si>
    <t>Le champ 200-030-04 doit être ≥ 0</t>
  </si>
  <si>
    <t>Le champ 200-030-05 doit être ≥ 0</t>
  </si>
  <si>
    <t>Le champ 200-040-01 doit être ≥ 0</t>
  </si>
  <si>
    <t>Le champ 200-040-02 doit être ≥ 0</t>
  </si>
  <si>
    <t>Le champ 200-040-04 doit être ≥ 0</t>
  </si>
  <si>
    <t>Le champ 200-040-05 doit être ≥ 0</t>
  </si>
  <si>
    <t>Le champ 200-050-01 doit être ≥ 0</t>
  </si>
  <si>
    <t>Le champ 200-050-02 doit être ≥ 0</t>
  </si>
  <si>
    <t>Le champ 200-050-04 doit être ≥ 0</t>
  </si>
  <si>
    <t>Le champ 200-050-05 doit être ≥ 0</t>
  </si>
  <si>
    <t>Le champ 200-060-01 doit être ≥ 0</t>
  </si>
  <si>
    <t>Le champ 200-060-02 doit être ≥ 0</t>
  </si>
  <si>
    <t>Le champ 200-060-04 doit être ≥ 0</t>
  </si>
  <si>
    <t>Le champ 200-060-05 doit être ≥ 0</t>
  </si>
  <si>
    <t>Le champ 200-070-01 doit être ≥ 0</t>
  </si>
  <si>
    <t>Le champ 200-070-02 doit être ≥ 0</t>
  </si>
  <si>
    <t>Le champ 200-070-04 doit être ≥ 0</t>
  </si>
  <si>
    <t>Le champ 200-070-05 doit être ≥ 0</t>
  </si>
  <si>
    <t>Le champ 200-080-01 doit être ≥ 0</t>
  </si>
  <si>
    <t>Le champ 200-080-02 doit être ≥ 0</t>
  </si>
  <si>
    <t>Le champ 200-080-04 doit être ≥ 0</t>
  </si>
  <si>
    <t>Le champ 200-080-05 doit être ≥ 0</t>
  </si>
  <si>
    <t>Le nom de l'institution est obligatoire (Identification-010)</t>
  </si>
  <si>
    <t>La charte de l'institution est obligatoire (Identification-020)</t>
  </si>
  <si>
    <t>La déclaration doit être pour l'année en cours (Identification-030)</t>
  </si>
  <si>
    <t>Prime payable :</t>
  </si>
  <si>
    <t>Premium payable :</t>
  </si>
  <si>
    <t>(Annexe 100)</t>
  </si>
  <si>
    <t>(Annexe 200)</t>
  </si>
  <si>
    <t>(Annexe 300)</t>
  </si>
  <si>
    <t>§</t>
  </si>
  <si>
    <t>Le choix du type de déposants en fiducie ne peux pas être "Non applicable" si un nombre de déposants en fiducie est saisi</t>
  </si>
  <si>
    <t>Taxe sur les primes d'assurance</t>
  </si>
  <si>
    <t>Tax on insurance premiums</t>
  </si>
  <si>
    <t>9%</t>
  </si>
  <si>
    <t>Non applicable - aucun dépôt en fiducie</t>
  </si>
  <si>
    <t>R #</t>
  </si>
  <si>
    <t>Description de la règle / Rule description</t>
  </si>
  <si>
    <t>Référence cellule</t>
  </si>
  <si>
    <t>Valeur obtenue du côté gauche de la formule / Left side equation value</t>
  </si>
  <si>
    <t>Valeur obtenue du côté droite de la formule / Right side equation value</t>
  </si>
  <si>
    <t>Résultat / Result</t>
  </si>
  <si>
    <t>A (Avertissement / Alert) - 
E (Erreur / Error)</t>
  </si>
  <si>
    <t>E</t>
  </si>
  <si>
    <t>Ident010</t>
  </si>
  <si>
    <t>Ident020</t>
  </si>
  <si>
    <t>Ident030</t>
  </si>
  <si>
    <t>TauxTaxe</t>
  </si>
  <si>
    <t>TauxTaxeEnTxt</t>
  </si>
  <si>
    <t>TauxPrime</t>
  </si>
  <si>
    <t>SeuilMinimal</t>
  </si>
  <si>
    <t>Un montant de dépôts assurables ≤ 100 000 $ doit obligatoirement être indiqué lorsqu'un montant de dépôts assurables &gt; 100 000 $ est présent (200-010-01)</t>
  </si>
  <si>
    <t>Un montant de dépôts assurables ≤ 100 000 $ doit obligatoirement être indiqué lorsqu'un montant de dépôts assurables &gt; 100 000 $ est présent (200-020-01)</t>
  </si>
  <si>
    <t>Un montant de dépôts assurables ≤ 100 000 $ doit obligatoirement être indiqué lorsqu'un montant de dépôts assurables &gt; 100 000 $ est présent (200-030-01)</t>
  </si>
  <si>
    <t>Un montant de dépôts assurables ≤ 100 000 $ doit obligatoirement être indiqué lorsqu'un montant de dépôts assurables &gt; 100 000 $ est présent (200-040-01)</t>
  </si>
  <si>
    <t>Un montant de dépôts assurables ≤ 100 000 $ doit obligatoirement être indiqué lorsqu'un montant de dépôts assurables &gt; 100 000 $ est présent (200-050-01)</t>
  </si>
  <si>
    <t>Un montant de dépôts assurables ≤ 100 000 $ doit obligatoirement être indiqué lorsqu'un montant de dépôts assurables &gt; 100 000 $ est présent (200-060-01)</t>
  </si>
  <si>
    <t>Un montant de dépôts assurables ≤ 100 000 $ doit obligatoirement être indiqué lorsqu'un montant de dépôts assurables &gt; 100 000 $ est présent (200-070-01)</t>
  </si>
  <si>
    <t>Un montant de dépôts assurables ≤ 100 000 $ doit obligatoirement être indiqué lorsqu'un montant de dépôts assurables &gt; 100 000 $ est présent (200-080-01)</t>
  </si>
  <si>
    <t>Le nombre de déposants &gt; 100 000 $ doit être non-nul puisque des dépôts assurables &gt; 100 000 $ sont présents pour cette catégorie d'assurance (200-010-05)</t>
  </si>
  <si>
    <t>Le nombre de déposants &gt; 100 000 $ doit être non-nul puisque des dépôts assurables &gt; 100 000 $ sont présents pour cette catégorie d'assurance (200-020-05)</t>
  </si>
  <si>
    <t>Le nombre de déposants &gt; 100 000 $ doit être non-nul puisque des dépôts assurables &gt; 100 000 $ sont présents pour cette catégorie d'assurance (200-030-05)</t>
  </si>
  <si>
    <t>Le nombre de déposants &gt; 100 000 $ doit être non-nul puisque des dépôts assurables &gt; 100 000 $ sont présents pour cette catégorie d'assurance (200-040-05)</t>
  </si>
  <si>
    <t>Le nombre de déposants &gt; 100 000 $ doit être non-nul puisque des dépôts assurables &gt; 100 000 $ sont présents pour cette catégorie d'assurance (200-050-05)</t>
  </si>
  <si>
    <t>Le nombre de déposants &gt; 100 000 $ doit être non-nul puisque des dépôts assurables &gt; 100 000 $ sont présents pour cette catégorie d'assurance (200-060-05)</t>
  </si>
  <si>
    <t>Le nombre de déposants &gt; 100 000 $ doit être non-nul puisque des dépôts assurables &gt; 100 000 $ sont présents pour cette catégorie d'assurance (200-070-05)</t>
  </si>
  <si>
    <t>Le nombre de déposants &gt; 100 000 $ doit être non-nul puisque des dépôts assurables &gt; 100 000 $ sont présents pour cette catégorie d'assurance (200-080-05)</t>
  </si>
  <si>
    <t>Le nombre de déposants ≤ 100 000 $ doit être nul puisqu'aucun dépôt assurable ≤ 100 000 $ n'est présent pour cette catégorie d'assurance (200-010-04)</t>
  </si>
  <si>
    <t>Le nombre de déposants &gt; 100 000 $ doit être nul puisqu'aucun dépôt assurable &gt; 100 000 $ n'est présent pour cette catégorie d'assurance (200-010-05)</t>
  </si>
  <si>
    <t>Le nombre de déposants ≤ 100 000 $ doit être nul puisqu'aucun dépôt assurable ≤ 100 000 $ n'est présent pour cette catégorie d'assurance (200-020-04)</t>
  </si>
  <si>
    <t>Le nombre de déposants &gt; 100 000 $ doit être nul puisqu'aucun dépôt assurable &gt; 100 000 $ n'est présent pour cette catégorie d'assurance (200-020-05)</t>
  </si>
  <si>
    <t>Le nombre de déposants ≤ 100 000 $ doit être nul puisqu'aucun dépôt assurable ≤ 100 000 $ n'est présent pour cette catégorie d'assurance (200-030-04)</t>
  </si>
  <si>
    <t>Le nombre de déposants &gt; 100 000 $ doit être nul puisqu'aucun dépôt assurable &gt; 100 000 $ n'est présent pour cette catégorie d'assurance (200-030-05)</t>
  </si>
  <si>
    <t>Le nombre de déposants ≤ 100 000 $ doit être nul puisqu'aucun dépôt assurable ≤ 100 000 $ n'est présent pour cette catégorie d'assurance (200-040-04)</t>
  </si>
  <si>
    <t>Le nombre de déposants &gt; 100 000 $ doit être nul puisqu'aucun dépôt assurable &gt; 100 000 $ n'est présent pour cette catégorie d'assurance (200-040-05)</t>
  </si>
  <si>
    <t>Le nombre de déposants ≤ 100 000 $ doit être nul puisqu'aucun dépôt assurable ≤ 100 000 $ n'est présent pour cette catégorie d'assurance (200-050-04)</t>
  </si>
  <si>
    <t>Le nombre de déposants &gt; 100 000 $ doit être nul puisqu'aucun dépôt assurable &gt; 100 000 $ n'est présent pour cette catégorie d'assurance (200-050-05)</t>
  </si>
  <si>
    <t>Le nombre de déposants ≤ 100 000 $ doit être nul puisqu'aucun dépôt assurable ≤ 100 000 $ n'est présent pour cette catégorie d'assurance (200-060-04)</t>
  </si>
  <si>
    <t>Le nombre de déposants &gt; 100 000 $ doit être nul puisqu'aucun dépôt assurable &gt; 100 000 $ n'est présent pour cette catégorie d'assurance (200-060-05)</t>
  </si>
  <si>
    <t>Le nombre de déposants ≤ 100 000 $ doit être nul puisqu'aucun dépôt assurable ≤ 100 000 $ n'est présent pour cette catégorie d'assurance (200-070-04)</t>
  </si>
  <si>
    <t>Le nombre de déposants &gt; 100 000 $ doit être nul puisqu'aucun dépôt assurable &gt; 100 000 $ n'est présent pour cette catégorie d'assurance (200-070-05)</t>
  </si>
  <si>
    <t>Le nombre de déposants ≤ 100 000 $ doit être nul puisqu'aucun dépôt assurable ≤ 100 000 $ n'est présent pour cette catégorie d'assurance (200-080-04)</t>
  </si>
  <si>
    <t>Le nombre de déposants &gt; 100 000 $ doit être nul puisqu'aucun dépôt assurable &gt; 100 000 $ n'est présent pour cette catégorie d'assurance (200-080-05)</t>
  </si>
  <si>
    <t>Le champ 200-010-01 est obligatoire (indiquer 0 si nul)</t>
  </si>
  <si>
    <t>Le champ 200-010-02 est obligatoire (indiquer 0 si nul)</t>
  </si>
  <si>
    <t>Le champ 200-010-04 est obligatoire (indiquer 0 si nul)</t>
  </si>
  <si>
    <t>Le champ 200-010-05 est obligatoire (indiquer 0 si nul)</t>
  </si>
  <si>
    <t>Le champ 200-020-01 est obligatoire (indiquer 0 si nul)</t>
  </si>
  <si>
    <t>Le champ 200-020-02 est obligatoire (indiquer 0 si nul)</t>
  </si>
  <si>
    <t>Le champ 200-020-04 est obligatoire (indiquer 0 si nul)</t>
  </si>
  <si>
    <t>Le champ 200-020-05 est obligatoire (indiquer 0 si nul)</t>
  </si>
  <si>
    <t>Le champ 200-030-01 est obligatoire (indiquer 0 si nul)</t>
  </si>
  <si>
    <t>Le champ 200-030-02 est obligatoire (indiquer 0 si nul)</t>
  </si>
  <si>
    <t>Le champ 200-030-04 est obligatoire (indiquer 0 si nul)</t>
  </si>
  <si>
    <t>Le champ 200-030-05 est obligatoire (indiquer 0 si nul)</t>
  </si>
  <si>
    <t>Le champ 200-040-01 est obligatoire (indiquer 0 si nul)</t>
  </si>
  <si>
    <t>Le champ 200-040-02 est obligatoire (indiquer 0 si nul)</t>
  </si>
  <si>
    <t>Le champ 200-040-04 est obligatoire (indiquer 0 si nul)</t>
  </si>
  <si>
    <t>Le champ 200-040-05 est obligatoire (indiquer 0 si nul)</t>
  </si>
  <si>
    <t>Le champ 200-050-01 est obligatoire (indiquer 0 si nul)</t>
  </si>
  <si>
    <t>Le champ 200-050-02 est obligatoire (indiquer 0 si nul)</t>
  </si>
  <si>
    <t>Le champ 200-050-04 est obligatoire (indiquer 0 si nul)</t>
  </si>
  <si>
    <t>Le champ 200-050-05 est obligatoire (indiquer 0 si nul)</t>
  </si>
  <si>
    <t>Le champ 200-060-01 est obligatoire (indiquer 0 si nul)</t>
  </si>
  <si>
    <t>Le champ 200-060-02 est obligatoire (indiquer 0 si nul)</t>
  </si>
  <si>
    <t>Le champ 200-060-04 est obligatoire (indiquer 0 si nul)</t>
  </si>
  <si>
    <t>Le champ 200-060-05 est obligatoire (indiquer 0 si nul)</t>
  </si>
  <si>
    <t>Le champ 200-070-01 est obligatoire (indiquer 0 si nul)</t>
  </si>
  <si>
    <t>Le champ 200-070-02 est obligatoire (indiquer 0 si nul)</t>
  </si>
  <si>
    <t>Le champ 200-070-04 est obligatoire (indiquer 0 si nul)</t>
  </si>
  <si>
    <t>Le champ 200-070-05 est obligatoire (indiquer 0 si nul)</t>
  </si>
  <si>
    <t>Le champ 200-080-01 est obligatoire (indiquer 0 si nul)</t>
  </si>
  <si>
    <t>Le champ 200-080-02 est obligatoire (indiquer 0 si nul)</t>
  </si>
  <si>
    <t>Le champ 200-080-04 est obligatoire (indiquer 0 si nul)</t>
  </si>
  <si>
    <t>Le champ 200-080-05 est obligatoire (indiquer 0 si nul)</t>
  </si>
  <si>
    <t>Le champ 100-010-01 est obligatoire (indiquer 0 si nul)</t>
  </si>
  <si>
    <t>Le champ 100-010-02 est obligatoire (indiquer 0 si nul)</t>
  </si>
  <si>
    <t>Le champ 100-020-01 est obligatoire (indiquer 0 si nul)</t>
  </si>
  <si>
    <t>Le champ 100-020-02 est obligatoire (indiquer 0 si nul)</t>
  </si>
  <si>
    <t>Le champ 100-040-01 est obligatoire (indiquer 0 si nul)</t>
  </si>
  <si>
    <t>Le champ 100-040-02 est obligatoire (indiquer 0 si nul)</t>
  </si>
  <si>
    <t>Option cochée (utilisé dans formules)</t>
  </si>
  <si>
    <t>8-Property tax accounts</t>
  </si>
  <si>
    <t>Au :</t>
  </si>
  <si>
    <t>As at :</t>
  </si>
  <si>
    <t>Name of institution:</t>
  </si>
  <si>
    <t>Charter of institution:</t>
  </si>
  <si>
    <t>April 30</t>
  </si>
  <si>
    <t xml:space="preserve">Declaration of deposits </t>
  </si>
  <si>
    <t>Calculation of premium</t>
  </si>
  <si>
    <t>Locked field - Formula or carry-over</t>
  </si>
  <si>
    <t>(Schedule 100)</t>
  </si>
  <si>
    <t xml:space="preserve">Deposits at </t>
  </si>
  <si>
    <t>Subtotal eligible deposits</t>
  </si>
  <si>
    <t>Notes</t>
  </si>
  <si>
    <t>This amount does not include the tax on insurance premiums.
Refer to Schedule 300 for the exact amount to be paid.</t>
  </si>
  <si>
    <t>(Schedule 200)</t>
  </si>
  <si>
    <t>(Schedule 300)</t>
  </si>
  <si>
    <t>Not applicable - no trust deposits</t>
  </si>
  <si>
    <t xml:space="preserve">Number of trust account clients </t>
  </si>
  <si>
    <t>Le total des dépôts ≤ 100 000 $ (200-090-01) ne concorde pas avec le total des dépôts garantis (100-050-03)</t>
  </si>
  <si>
    <t>Le total des dépôts &gt; 100 000 $ (200-090-02) ne concorde pas avec le total des dépôts &gt; 100 000 $ reçus au Québec (100-040-03)</t>
  </si>
  <si>
    <t>Le grand total des dépôts (200-090-03) ne concorde pas avec le total des dépôts assurables reçus au Québec (100-030-03)</t>
  </si>
  <si>
    <t xml:space="preserve">An amount of eligible deposits ≤ $100,000 (200-010-01) must be entered whenever there is an amount of eligible deposits &gt; $100,000 </t>
  </si>
  <si>
    <t xml:space="preserve">The number of depositors ≤ $100,000 (200-010-04) must be nil since there are no eligible deposits ≤ $100,000 for this insurance class </t>
  </si>
  <si>
    <t xml:space="preserve">An amount of eligible deposits ≤ $100,000 (200-020-01) must be entered whenever there is an amount of eligible deposits &gt; $100,000 </t>
  </si>
  <si>
    <t xml:space="preserve">An amount of eligible deposits ≤ $100,000 (200-030-01) must be entered whenever there is an amount of eligible deposits &gt; $100,000 </t>
  </si>
  <si>
    <t xml:space="preserve">An amount of eligible deposits ≤ $100,000 (200-040-01) must be entered whenever there is an amount of eligible deposits &gt; $100,000 </t>
  </si>
  <si>
    <t xml:space="preserve">An amount of eligible deposits ≤ $100,000 (200-050-01) must be entered whenever there is an amount of eligible deposits &gt; $100,000 </t>
  </si>
  <si>
    <t xml:space="preserve">An amount of eligible deposits ≤ $100,000 (200-060-01) must be entered whenever there is an amount of eligible deposits &gt; $100,000 </t>
  </si>
  <si>
    <t xml:space="preserve">An amount of eligible deposits ≤ $100,000 (200-070-01) must be entered whenever there is an amount of eligible deposits &gt; $100,000 </t>
  </si>
  <si>
    <t xml:space="preserve">An amount of eligible deposits ≤ $100,000 (200-080-01) must be entered whenever there is an amount of eligible deposits &gt; $100,000 </t>
  </si>
  <si>
    <t xml:space="preserve">The number of depositors ≤ $100,000 (200-020-04) must be nil since there are no eligible deposits ≤ $100,000 for this insurance class </t>
  </si>
  <si>
    <t xml:space="preserve">The number of depositors ≤ $100,000 (200-030-04) must be nil since there are no eligible deposits ≤ $100,000 for this insurance class </t>
  </si>
  <si>
    <t xml:space="preserve">The number of depositors ≤ $100,000 (200-040-04) must be nil since there are no eligible deposits ≤ $100,000 for this insurance class </t>
  </si>
  <si>
    <t xml:space="preserve">The number of depositors ≤ $100,000 (200-050-04) must be nil since there are no eligible deposits ≤ $100,000 for this insurance class </t>
  </si>
  <si>
    <t xml:space="preserve">The number of depositors ≤ $100,000 (200-060-04) must be nil since there are no eligible deposits ≤ $100,000 for this insurance class </t>
  </si>
  <si>
    <t xml:space="preserve">The number of depositors ≤ $100,000 (200-070-04) must be nil since there are no eligible deposits ≤ $100,000 for this insurance class </t>
  </si>
  <si>
    <t xml:space="preserve">The number of depositors ≤ $100,000 (200-080-04) must be nil since there are no eligible deposits ≤ $100,000 for this insurance class </t>
  </si>
  <si>
    <t xml:space="preserve">The number of depositors &gt; $100,000 (200-010-05) must not be nil since there are eligible deposits ≤ $100,000 for this insurance class </t>
  </si>
  <si>
    <t xml:space="preserve">The number of depositors &gt; $100,000 (200-020-05) must not be nil since there are eligible deposits ≤ $100,000 for this insurance class </t>
  </si>
  <si>
    <t xml:space="preserve">The number of depositors &gt; $100,000 (200-030-05) must not be nil since there are eligible deposits ≤ $100,000 for this insurance class </t>
  </si>
  <si>
    <t xml:space="preserve">The number of depositors &gt; $100,000 (200-040-05) must not be nil since there are eligible deposits ≤ $100,000 for this insurance class </t>
  </si>
  <si>
    <t xml:space="preserve">The number of depositors &gt; $100,000 (200-050-05) must not be nil since there are eligible deposits ≤ $100,000 for this insurance class </t>
  </si>
  <si>
    <t xml:space="preserve">The number of depositors &gt; $100,000 (200-060-05) must not be nil since there are eligible deposits ≤ $100,000 for this insurance class </t>
  </si>
  <si>
    <t xml:space="preserve">The number of depositors &gt; $100,000 (200-070-05) must not be nil since there are eligible deposits ≤ $100,000 for this insurance class </t>
  </si>
  <si>
    <t xml:space="preserve">The number of depositors &gt; $100,000 (200-080-05) must not be nil since there are eligible deposits ≤ $100,000 for this insurance class </t>
  </si>
  <si>
    <t xml:space="preserve">The number of depositors &gt; $100,000 (200-010-05) must be nil since there are no eligible deposits ≤ $100,000 for this insurance class </t>
  </si>
  <si>
    <t xml:space="preserve">The number of depositors &gt; $100,000 (200-020-05) must be nil since there are no eligible deposits ≤ $100,000 for this insurance class </t>
  </si>
  <si>
    <t xml:space="preserve">The number of depositors &gt; $100,000 (200-030-05) must be nil since there are no eligible deposits ≤ $100,000 for this insurance class </t>
  </si>
  <si>
    <t xml:space="preserve">The number of depositors &gt; $100,000 (200-040-05) must be nil since there are no eligible deposits ≤ $100,000 for this insurance class </t>
  </si>
  <si>
    <t xml:space="preserve">The number of depositors &gt; $100,000 (200-050-05) must be nil since there are no eligible deposits ≤ $100,000 for this insurance class </t>
  </si>
  <si>
    <t xml:space="preserve">The number of depositors &gt; $100,000 (200-060-05) must be nil since there are no eligible deposits ≤ $100,000 for this insurance class </t>
  </si>
  <si>
    <t xml:space="preserve">The number of depositors &gt; $100,000 (200-070-05) must be nil since there are no eligible deposits ≤ $100,000 for this insurance class </t>
  </si>
  <si>
    <t xml:space="preserve">The number of depositors &gt; $100,000 (200-080-05) must be nil since there are no eligible deposits ≤ $100,000 for this insurance class </t>
  </si>
  <si>
    <t>The total of deposits ≤ $100,000 (200-090-01) does not equal the total of guaranteed deposits (100-050-03)</t>
  </si>
  <si>
    <t>The total of deposits &gt; $100,000 (200-090-02) does not equal the number of deposits &gt; $100,000 received in Québec (100-040-03)</t>
  </si>
  <si>
    <t>The total of all deposits (200-090-03) does not equal the total eligible deposits received in Québec (100-030-03)</t>
  </si>
  <si>
    <t>The name of the institution is mandatory (Identification-010)</t>
  </si>
  <si>
    <t>The charter of the institution is mandatory (Identification-020)</t>
  </si>
  <si>
    <t>The declaration must be for the current year (Identification-030)</t>
  </si>
  <si>
    <t>The calculation of deposits received in Québec is incorrect (100-010-03)</t>
  </si>
  <si>
    <t>The calculation of ineligible deposits received in Québec is incorrect (100-020-03)</t>
  </si>
  <si>
    <t>The calculation of the subtotal of eligible deposits is incorrect (100-030-01)</t>
  </si>
  <si>
    <t>The calculation of the subtotal of eligible deposits received outside Québec is incorrect (100-030-02)</t>
  </si>
  <si>
    <t>The calculation of the subtotal of eligible deposits received in Québec is incorrect (100-030-03)</t>
  </si>
  <si>
    <t>The calculation of the amount exceeding $100,000 per person is incorrect (100-040-03)</t>
  </si>
  <si>
    <t>The calculation of total guaranteed deposits is incorrect (100-050-01)</t>
  </si>
  <si>
    <t>The calculation of total guaranteed deposits received outside Québec is incorrect (100-050-02)</t>
  </si>
  <si>
    <t>The calculation of total guaranteed deposits received in Québec is incorrect (100-050-03)</t>
  </si>
  <si>
    <t>The calculation of the premium payable (Schedule 100) is incorrect (100-060-03)</t>
  </si>
  <si>
    <t>Field 100-010-01 is mandatory (enter 0 if nil)</t>
  </si>
  <si>
    <t>Field 100-010-02 is mandatory (enter 0 if nil)</t>
  </si>
  <si>
    <t>Field 100-020-01 is mandatory (enter 0 if nil)</t>
  </si>
  <si>
    <t>Field 100-020-02 is mandatory (enter 0 if nil)</t>
  </si>
  <si>
    <t>Field 100-040-01 is mandatory (enter 0 if nil)</t>
  </si>
  <si>
    <t>Field 100-040-02 is mandatory (enter 0 if nil)</t>
  </si>
  <si>
    <t>Field 100-010-01 must be ≥ 0</t>
  </si>
  <si>
    <t>Field 100-010-02 must be ≥ 0</t>
  </si>
  <si>
    <t>Field 100-020-01 must be ≥ 0</t>
  </si>
  <si>
    <t>Field 100-020-02 must be ≥ 0</t>
  </si>
  <si>
    <t>Field 100-040-01 must be ≥ 0</t>
  </si>
  <si>
    <t>Field 100-040-02 must be ≥ 0</t>
  </si>
  <si>
    <t>Field 100-010-02 must be ≤ 100-010-01</t>
  </si>
  <si>
    <t>Field 100-020-01 must be ≤ 100-010-01</t>
  </si>
  <si>
    <t>Field 100-020-02 must be ≤ 100-010-02</t>
  </si>
  <si>
    <t>Field 100-040-01 must be ≤ 100-030-01</t>
  </si>
  <si>
    <t>Field 100-040-02 must be ≤ 100-030-02</t>
  </si>
  <si>
    <t>Field 100-040-02 must be ≤ 100-040-01</t>
  </si>
  <si>
    <t>The sum of basic protections is incorrect (200-010-03)</t>
  </si>
  <si>
    <t>The sum of joint deposits is incorrect (200-020-03)</t>
  </si>
  <si>
    <t>The sum of trust deposits is incorrect (200-030-03)</t>
  </si>
  <si>
    <t>The option used for type of trust depositors ≤ $100,000 cannot be "Not applicable" if a number of depositors is entered</t>
  </si>
  <si>
    <t>The option used for type of trust depositors &gt; $100,000 cannot be "Not applicable" if a number of depositors is entered</t>
  </si>
  <si>
    <t>The number of trust depositors ≤ $100,000 carried over does not correspond to the option used (number of accounts)</t>
  </si>
  <si>
    <t>The number of trust depositors &gt; $100,000 carried over does not correspond to the option used (number of accounts)</t>
  </si>
  <si>
    <t>The number of trust depositors ≤ $100,000 carried over does not correspond to the option used (number of clients)</t>
  </si>
  <si>
    <t>The number of trust depositors &gt; $100,000 carried over does not correspond to the option used (number of clients)</t>
  </si>
  <si>
    <t>The number of trust depositors ≤ $100,000 carried over does not correspond to the option used (number of beneficiaries)</t>
  </si>
  <si>
    <t>The number of trust depositors &gt; $100,000 carried over does not correspond to the option used (number of beneficiaries)</t>
  </si>
  <si>
    <t>The sum of deposits under a mandate is incorrect (200-040-03)</t>
  </si>
  <si>
    <t>The sum of RRSPs is incorrect (200-050-03)</t>
  </si>
  <si>
    <t>The sum of RRIFs is incorrect (200-060-03)</t>
  </si>
  <si>
    <t>The sum of TFSAs is incorrect (200-070-03)</t>
  </si>
  <si>
    <t>The sum of property tax accounts is incorrect (200-080-03)</t>
  </si>
  <si>
    <t>The sum of deposits ≤ $100,000 is incorrect (200-090-01)</t>
  </si>
  <si>
    <t>The sum of deposits &gt; $100,000 is incorrect (200-090-02)</t>
  </si>
  <si>
    <t>The sum of all deposits is incorrect (200-090-03)</t>
  </si>
  <si>
    <t>The sum of depositors ≤ $100,000 is incorrect (200-090-04)</t>
  </si>
  <si>
    <t>The sum of depositors &gt; $100,000 is incorrect (200-090-05)</t>
  </si>
  <si>
    <t>Le report du nombre de déposants en fiducie ≤ 100 000 $ ne correspond pas à l'option choisie (nombre de comptes)</t>
  </si>
  <si>
    <t>Le report du nombre de déposants en fiducie &gt; 100 000 $ ne correspond pas à l'option choisie (nombre de comptes)</t>
  </si>
  <si>
    <t>Le report du nombre de déposants en fiducie ≤ 100 000 $ ne correspond pas à l'option choisie (nombre de clients)</t>
  </si>
  <si>
    <t>Le report du nombre de déposants en fiducie &gt; 100 000 $ ne correspond pas à l'option choisie (nombre de clients)</t>
  </si>
  <si>
    <t>Le report du nombre de déposants en fiducie ≤ 100 000 $ ne correspond pas à l'option choisie (nombre de bénéficiaires)</t>
  </si>
  <si>
    <t>Le report du nombre de déposants en fiducie &gt; 100 000 $ ne correspond pas à l'option choisie (nombre de bénéficiaires)</t>
  </si>
  <si>
    <t>Field 200-010-01 is mandatory (enter 0 if nil)</t>
  </si>
  <si>
    <t>Field 200-010-02 is mandatory (enter 0 if nil)</t>
  </si>
  <si>
    <t>Field 200-010-04 is mandatory (enter 0 if nil)</t>
  </si>
  <si>
    <t>Field 200-010-05 is mandatory (enter 0 if nil)</t>
  </si>
  <si>
    <t>Field 200-020-01 is mandatory (enter 0 if nil)</t>
  </si>
  <si>
    <t>Field 200-020-02 is mandatory (enter 0 if nil)</t>
  </si>
  <si>
    <t>Field 200-020-04 is mandatory (enter 0 if nil)</t>
  </si>
  <si>
    <t>Field 200-020-05 is mandatory (enter 0 if nil)</t>
  </si>
  <si>
    <t>Field 200-030-01 is mandatory (enter 0 if nil)</t>
  </si>
  <si>
    <t>Field 200-030-02 is mandatory (enter 0 if nil)</t>
  </si>
  <si>
    <t>Field 200-030-04 is mandatory (enter 0 if nil)</t>
  </si>
  <si>
    <t>Field 200-030-05 is mandatory (enter 0 if nil)</t>
  </si>
  <si>
    <t>Field 200-040-01 is mandatory (enter 0 if nil)</t>
  </si>
  <si>
    <t>Field 200-040-02 is mandatory (enter 0 if nil)</t>
  </si>
  <si>
    <t>Field 200-040-04 is mandatory (enter 0 if nil)</t>
  </si>
  <si>
    <t>Field 200-040-05 is mandatory (enter 0 if nil)</t>
  </si>
  <si>
    <t>Field 200-050-01 is mandatory (enter 0 if nil)</t>
  </si>
  <si>
    <t>Field 200-050-02 is mandatory (enter 0 if nil)</t>
  </si>
  <si>
    <t>Field 200-050-04 is mandatory (enter 0 if nil)</t>
  </si>
  <si>
    <t>Field 200-050-05 is mandatory (enter 0 if nil)</t>
  </si>
  <si>
    <t>Field 200-060-01 is mandatory (enter 0 if nil)</t>
  </si>
  <si>
    <t>Field 200-060-02 is mandatory (enter 0 if nil)</t>
  </si>
  <si>
    <t>Field 200-060-04 is mandatory (enter 0 if nil)</t>
  </si>
  <si>
    <t>Field 200-060-05 is mandatory (enter 0 if nil)</t>
  </si>
  <si>
    <t>Field 200-070-01 is mandatory (enter 0 if nil)</t>
  </si>
  <si>
    <t>Field 200-070-02 is mandatory (enter 0 if nil)</t>
  </si>
  <si>
    <t>Field 200-070-04 is mandatory (enter 0 if nil)</t>
  </si>
  <si>
    <t>Field 200-070-05 is mandatory (enter 0 if nil)</t>
  </si>
  <si>
    <t>Field 200-080-01 is mandatory (enter 0 if nil)</t>
  </si>
  <si>
    <t>Field 200-080-02 is mandatory (enter 0 if nil)</t>
  </si>
  <si>
    <t>Field 200-080-04 is mandatory (enter 0 if nil)</t>
  </si>
  <si>
    <t>Field 200-080-05 is mandatory (enter 0 if nil)</t>
  </si>
  <si>
    <t>Field 200-010-01 must be ≥ 0</t>
  </si>
  <si>
    <t>Field 200-010-02 must be ≥ 0</t>
  </si>
  <si>
    <t>Field 200-010-04 must be ≥ 0</t>
  </si>
  <si>
    <t>Field 200-010-05 must be ≥ 0</t>
  </si>
  <si>
    <t>Field 200-020-01 must be ≥ 0</t>
  </si>
  <si>
    <t>Field 200-020-02 must be ≥ 0</t>
  </si>
  <si>
    <t>Field 200-020-04 must be ≥ 0</t>
  </si>
  <si>
    <t>Field 200-020-05 must be ≥ 0</t>
  </si>
  <si>
    <t>Field 200-030-01 must be ≥ 0</t>
  </si>
  <si>
    <t>Field 200-030-02 must be ≥ 0</t>
  </si>
  <si>
    <t>Field 200-030-04 must be ≥ 0</t>
  </si>
  <si>
    <t>Field 200-030-05 must be ≥ 0</t>
  </si>
  <si>
    <t>Field 200-040-01 must be ≥ 0</t>
  </si>
  <si>
    <t>Field 200-040-02 must be ≥ 0</t>
  </si>
  <si>
    <t>Field 200-040-04 must be ≥ 0</t>
  </si>
  <si>
    <t>Field 200-040-05 must be ≥ 0</t>
  </si>
  <si>
    <t>Field 200-050-01 must be ≥ 0</t>
  </si>
  <si>
    <t>Field 200-050-02 must be ≥ 0</t>
  </si>
  <si>
    <t>Field 200-050-04 must be ≥ 0</t>
  </si>
  <si>
    <t>Field 200-050-05 must be ≥ 0</t>
  </si>
  <si>
    <t>Field 200-060-01 must be ≥ 0</t>
  </si>
  <si>
    <t>Field 200-060-02 must be ≥ 0</t>
  </si>
  <si>
    <t>Field 200-060-04 must be ≥ 0</t>
  </si>
  <si>
    <t>Field 200-060-05 must be ≥ 0</t>
  </si>
  <si>
    <t>Field 200-070-01 must be ≥ 0</t>
  </si>
  <si>
    <t>Field 200-070-02 must be ≥ 0</t>
  </si>
  <si>
    <t>Field 200-070-04 must be ≥ 0</t>
  </si>
  <si>
    <t>Field 200-070-05 must be ≥ 0</t>
  </si>
  <si>
    <t>Field 200-080-01 must be ≥ 0</t>
  </si>
  <si>
    <t>Field 200-080-02 must be ≥ 0</t>
  </si>
  <si>
    <t>Field 200-080-04 must be ≥ 0</t>
  </si>
  <si>
    <t>Field 200-080-05 must be ≥ 0</t>
  </si>
  <si>
    <t>The premium payable (before tax) in Schedule 100 does not equal the premium payable in Schedule 300 (300-010)</t>
  </si>
  <si>
    <t>The calculation of the tax on insurance premiums is incorrect (300-020)</t>
  </si>
  <si>
    <t>The sum of the premium payable and the tax is incorrect (300-030)</t>
  </si>
  <si>
    <t>Le nombre de déposants doit être non-nul puisque des dépôts assurables sont présents pour cette catégorie d'assurance (200-010-04 &amp; 200-010-05)</t>
  </si>
  <si>
    <t>Le nombre de déposants doit être non-nul puisque des dépôts assurables sont présents pour cette catégorie d'assurance (200-020-04 &amp; 200-020-05)</t>
  </si>
  <si>
    <t>Le nombre de déposants doit être non-nul puisque des dépôts assurables sont présents pour cette catégorie d'assurance (200-030-04 &amp; 200-030-05)</t>
  </si>
  <si>
    <t>Le nombre de déposants doit être non-nul puisque des dépôts assurables sont présents pour cette catégorie d'assurance (200-040-04 &amp; 200-040-05)</t>
  </si>
  <si>
    <t>Le nombre de déposants doit être non-nul puisque des dépôts assurables sont présents pour cette catégorie d'assurance (200-060-04 &amp; 200-060-05)</t>
  </si>
  <si>
    <t>Le nombre de déposants doit être non-nul puisque des dépôts assurables sont présents pour cette catégorie d'assurance (200-070-04 &amp; 200-070-05)</t>
  </si>
  <si>
    <t>Le nombre de déposants doit être non-nul puisque des dépôts assurables sont présents pour cette catégorie d'assurance (200-080-04 &amp; 200-080-05)</t>
  </si>
  <si>
    <t xml:space="preserve">The number of depositors (200-010-04 &amp; 200-010-05) must not be nil since there are eligible deposits for this insurance class </t>
  </si>
  <si>
    <t xml:space="preserve">The number of depositors (200-020-04 &amp; 200-020-05) must not be nil since there are eligible deposits for this insurance class </t>
  </si>
  <si>
    <t xml:space="preserve">The number of depositors (200-030-04 &amp; 200-030-05) must not be nil since there are eligible deposits for this insurance class </t>
  </si>
  <si>
    <t xml:space="preserve">The number of depositors (200-040-04 &amp; 200-040-05) must not be nil since there are eligible deposits for this insurance class </t>
  </si>
  <si>
    <t xml:space="preserve">The number of depositors (200-060-04 &amp; 200-060-05) must not be nil since there are eligible deposits for this insurance class </t>
  </si>
  <si>
    <t xml:space="preserve">The number of depositors (200-070-04 &amp; 200-070-05) must not be nil since there are eligible deposits for this insurance class </t>
  </si>
  <si>
    <t xml:space="preserve">The number of depositors (200-080-04 &amp; 200-080-05) must not be nil since there are eligible deposits for this insurance class </t>
  </si>
  <si>
    <t>Le nombre de déposants doit être non-nul puisque des dépôts assurables sont présents pour cette catégorie d'assurance (200-050-04 &amp; 200-050-05)</t>
  </si>
  <si>
    <t xml:space="preserve">The number of depositors (200-050-04 &amp; 200-050-05) must not be nil since there are eligible deposits for this insurance class </t>
  </si>
  <si>
    <t>¥</t>
  </si>
  <si>
    <t>Le bordereau nécessaire au paiement de la prime (si applicable) sera généré et déposé 
dans votre boîte de messagerie sécurisée quelques jours après la réception votre déclaration. Veuillez transmettre votre paiement à l'adresse générale de l'Autorité indiquée sur le bordereau.</t>
  </si>
  <si>
    <t>The remittance slip required to pay the premium (if applicable) will be generated and sent to your secure message inbox a few days after your declaration has been received. Please send your payment to the AMF’s general mailing address shown on the remittance slip.</t>
  </si>
  <si>
    <t>001</t>
  </si>
  <si>
    <t>002</t>
  </si>
  <si>
    <t>003</t>
  </si>
  <si>
    <t>004</t>
  </si>
  <si>
    <t>005</t>
  </si>
  <si>
    <t>006</t>
  </si>
  <si>
    <t>007</t>
  </si>
  <si>
    <t>008</t>
  </si>
  <si>
    <t>009</t>
  </si>
  <si>
    <t>011</t>
  </si>
  <si>
    <t>012</t>
  </si>
  <si>
    <t>013</t>
  </si>
  <si>
    <t>014</t>
  </si>
  <si>
    <t>015</t>
  </si>
  <si>
    <t>016</t>
  </si>
  <si>
    <t>017</t>
  </si>
  <si>
    <t>018</t>
  </si>
  <si>
    <t>019</t>
  </si>
  <si>
    <t>021</t>
  </si>
  <si>
    <t>022</t>
  </si>
  <si>
    <t>023</t>
  </si>
  <si>
    <t>024</t>
  </si>
  <si>
    <t>025</t>
  </si>
  <si>
    <t>026</t>
  </si>
  <si>
    <t>027</t>
  </si>
  <si>
    <t>028</t>
  </si>
  <si>
    <t>029</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</si>
  <si>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</si>
  <si>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</si>
  <si>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</si>
  <si>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</si>
  <si>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</si>
  <si>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</si>
  <si>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</si>
  <si>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</si>
  <si>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</si>
  <si>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</si>
  <si>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</si>
  <si>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</si>
  <si>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</si>
  <si>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</si>
  <si>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</si>
  <si>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</si>
  <si>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</si>
  <si>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</si>
  <si>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</si>
  <si>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</si>
  <si>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</si>
  <si>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</si>
  <si>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</si>
  <si>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</si>
  <si>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</si>
  <si>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</si>
  <si>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</si>
  <si>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</si>
  <si>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</si>
  <si>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</si>
  <si>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</si>
  <si>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</si>
  <si>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</si>
  <si>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</si>
  <si>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</si>
  <si>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</si>
  <si>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</si>
  <si>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</si>
  <si>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</si>
  <si>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</si>
  <si>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</si>
  <si>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</si>
  <si>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</si>
  <si>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</si>
  <si>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</si>
  <si>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</si>
  <si>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</si>
  <si>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</si>
  <si>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</si>
  <si>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</si>
  <si>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</si>
  <si>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</si>
  <si>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</si>
  <si>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</si>
  <si>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</si>
  <si>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</si>
  <si>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</si>
  <si>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</si>
  <si>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</si>
  <si>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</si>
  <si>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</si>
  <si>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</si>
  <si>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</si>
  <si>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</si>
  <si>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</si>
  <si>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</si>
  <si>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</si>
  <si>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</si>
  <si>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</si>
  <si>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</si>
  <si>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</si>
  <si>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</si>
  <si>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</si>
  <si>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</si>
  <si>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</si>
  <si>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</si>
  <si>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</si>
  <si>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</si>
  <si>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</si>
  <si>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</si>
  <si>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</si>
  <si>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</si>
  <si>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</si>
  <si>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</si>
  <si>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</si>
  <si>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</si>
  <si>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</si>
  <si>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</si>
  <si>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</si>
  <si>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</si>
  <si>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</si>
  <si>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</si>
  <si>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</si>
  <si>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</si>
  <si>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</si>
  <si>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</si>
  <si>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</si>
  <si>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</si>
  <si>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</si>
  <si>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</si>
  <si>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</si>
  <si>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</si>
  <si>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</si>
  <si>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</si>
  <si>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</si>
  <si>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</si>
  <si>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</si>
  <si>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</si>
  <si>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</si>
  <si>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200</t>
  </si>
  <si>
    <t>Loi sur les institutions de dépôts et la protection des dépôts (RLRQ c. I-13.2.2)</t>
  </si>
  <si>
    <t>Deposit Institutions and Deposit Protection Act, CQLR, c. I-13.2.2</t>
  </si>
  <si>
    <t>(06)</t>
  </si>
  <si>
    <t>Nombre de déposants §</t>
  </si>
  <si>
    <t>Number of depositors §</t>
  </si>
  <si>
    <t>Dépôts en devises étrangères ¥</t>
  </si>
  <si>
    <t>Foreign currency deposits ¥</t>
  </si>
  <si>
    <t>Le champ 200-010-06 est obligatoire (indiquer 0 si nul)</t>
  </si>
  <si>
    <t>Le champ 200-020-06 est obligatoire (indiquer 0 si nul)</t>
  </si>
  <si>
    <t>Le champ 200-030-06 est obligatoire (indiquer 0 si nul)</t>
  </si>
  <si>
    <t>Le champ 200-040-06 est obligatoire (indiquer 0 si nul)</t>
  </si>
  <si>
    <t>Le champ 200-050-06 est obligatoire (indiquer 0 si nul)</t>
  </si>
  <si>
    <t>Le champ 200-060-06 est obligatoire (indiquer 0 si nul)</t>
  </si>
  <si>
    <t>Le champ 200-070-06 est obligatoire (indiquer 0 si nul)</t>
  </si>
  <si>
    <t>Le champ 200-080-06 est obligatoire (indiquer 0 si nul)</t>
  </si>
  <si>
    <t>Field 200-010-06 is mandatory (enter 0 if nil)</t>
  </si>
  <si>
    <t>Field 200-080-06 is mandatory (enter 0 if nil)</t>
  </si>
  <si>
    <t>Field 200-070-06 is mandatory (enter 0 if nil)</t>
  </si>
  <si>
    <t>Field 200-060-06 is mandatory (enter 0 if nil)</t>
  </si>
  <si>
    <t>Field 200-050-06 is mandatory (enter 0 if nil)</t>
  </si>
  <si>
    <t>Field 200-040-06 is mandatory (enter 0 if nil)</t>
  </si>
  <si>
    <t>Field 200-030-06 is mandatory (enter 0 if nil)</t>
  </si>
  <si>
    <t>Field 200-020-06 is mandatory (enter 0 if nil)</t>
  </si>
  <si>
    <t>Le champ 200-010-06 doit être ≥ 0</t>
  </si>
  <si>
    <t>Le champ 200-020-06 doit être ≥ 0</t>
  </si>
  <si>
    <t>Le champ 200-030-06 doit être ≥ 0</t>
  </si>
  <si>
    <t>Le champ 200-040-06 doit être ≥ 0</t>
  </si>
  <si>
    <t>Le champ 200-050-06 doit être ≥ 0</t>
  </si>
  <si>
    <t>Le champ 200-060-06 doit être ≥ 0</t>
  </si>
  <si>
    <t>Le champ 200-070-06 doit être ≥ 0</t>
  </si>
  <si>
    <t>Le champ 200-080-06 doit être ≥ 0</t>
  </si>
  <si>
    <t>Field 200-010-06 must be ≥ 0</t>
  </si>
  <si>
    <t>Field 200-020-06 must be ≥ 0</t>
  </si>
  <si>
    <t>Field 200-030-06 must be ≥ 0</t>
  </si>
  <si>
    <t>Field 200-040-06 must be ≥ 0</t>
  </si>
  <si>
    <t>Field 200-050-06 must be ≥ 0</t>
  </si>
  <si>
    <t>Field 200-060-06 must be ≥ 0</t>
  </si>
  <si>
    <t>Field 200-070-06 must be ≥ 0</t>
  </si>
  <si>
    <t>Field 200-080-06 must be ≥ 0</t>
  </si>
  <si>
    <t>Le champ 200-010-06 doit être ≤ à 200-010-03</t>
  </si>
  <si>
    <t>Le champ 200-020-06 doit être ≤ à 200-020-03</t>
  </si>
  <si>
    <t>Le champ 200-030-06 doit être ≤ à 200-030-03</t>
  </si>
  <si>
    <t>Le champ 200-040-06 doit être ≤ à 200-040-03</t>
  </si>
  <si>
    <t>Le champ 200-050-06 doit être ≤ à 200-050-03</t>
  </si>
  <si>
    <t>Le champ 200-060-06 doit être ≤ à 200-060-03</t>
  </si>
  <si>
    <t>Le champ 200-070-06 doit être ≤ à 200-070-03</t>
  </si>
  <si>
    <t>Le champ 200-080-06 doit être ≤ à 200-080-03</t>
  </si>
  <si>
    <t>Le champ 200-090-06 doit être ≤ à 200-090-03</t>
  </si>
  <si>
    <t>Field 200-010-06 must be ≤ 200-010-03</t>
  </si>
  <si>
    <t>Field 200-020-06 must be ≤ 200-020-03</t>
  </si>
  <si>
    <t>Field 200-030-06 must be ≤ 200-030-03</t>
  </si>
  <si>
    <t>Field 200-040-06 must be ≤ 200-040-03</t>
  </si>
  <si>
    <t>Field 200-050-06 must be ≤ 200-050-03</t>
  </si>
  <si>
    <t>Field 200-060-06 must be ≤ 200-060-03</t>
  </si>
  <si>
    <t>Field 200-070-06 must be ≤ 200-070-03</t>
  </si>
  <si>
    <t>Field 200-080-06 must be ≤ 200-080-03</t>
  </si>
  <si>
    <t>Field 200-090-06 must be ≤ 200-090-03</t>
  </si>
  <si>
    <t>L'addition des dépôts en devises étrangères retourne un résultat incorrect (200-090-06)</t>
  </si>
  <si>
    <t>The sum of all foreign currency deposits is incorrect (200-090-06)</t>
  </si>
  <si>
    <t xml:space="preserve">Eligible deposits received in Québec as at </t>
  </si>
  <si>
    <t>Breakdown eligible of deposits received in Québec</t>
  </si>
  <si>
    <t>En dollars canadiens, arrondis au dollar près - ne pas utiliser les milliers</t>
  </si>
  <si>
    <t>≤ 100 000 $
(toutes devises)</t>
  </si>
  <si>
    <t>&gt; 100 000 $ ‡
(toutes devises)</t>
  </si>
  <si>
    <t>In canadian dollars and to the nearest dollar - thousands cannot be used</t>
  </si>
  <si>
    <t>≤ 100 000 $
(all currencies)</t>
  </si>
  <si>
    <t>&gt; 100 000 $ ‡
(all currencies)</t>
  </si>
  <si>
    <t>Amounts greater than $100,000 must represent only the portion exceeding this limit. For example, for a depositor with $120,000 in basic protection, $100,000 should be reported in column (01) and $20,000 in column (02).</t>
  </si>
  <si>
    <t>Masquer ces colonnes (incluant la L, mais pas la O)</t>
  </si>
  <si>
    <t>Masquer ces colonnes (incluant la N, mais pas la Q)</t>
  </si>
  <si>
    <t>TOTAL</t>
  </si>
  <si>
    <t>10-REEI</t>
  </si>
  <si>
    <t>9-REEE</t>
  </si>
  <si>
    <t>Amount in Canadian dollars of the deposits in foreign currencies included in column (03).</t>
  </si>
  <si>
    <t>9-RESPs</t>
  </si>
  <si>
    <t>10-RDSPs</t>
  </si>
  <si>
    <t xml:space="preserve">Dépôts en fiducie ou pour l'administration du bien d'autrui.
</t>
  </si>
  <si>
    <t>Pour les cases 030-(04) et 030-(05), vous pouvez indiquer soit le
nombre de comptes en fiducie, soit le nombre de clients ayant
des comptes en fiducie ou soit le nombre de bénéficiaires. 
Veuillez spécifier votre choix en cochant le cercle approprié :</t>
  </si>
  <si>
    <t>Trust deposits or other form of administration of the property of others.</t>
  </si>
  <si>
    <t>For cells 030-(04) and 030-(05), you may use the number of 
trust accounts, the number of trust account clients or 
the number of beneficiaries. Please indicate the option used:</t>
  </si>
  <si>
    <t>189</t>
  </si>
  <si>
    <t>190</t>
  </si>
  <si>
    <t>L'addition des REEE retourne un résultat incorrect (200-085-03)</t>
  </si>
  <si>
    <t>The sum of RESPs is incorrect (200-085-03)</t>
  </si>
  <si>
    <t>L'addition des REEI retourne un résultat incorrect (200-086-03)</t>
  </si>
  <si>
    <t>The sum of RDSPs is incorrect (200-086-03)</t>
  </si>
  <si>
    <t>191</t>
  </si>
  <si>
    <t>192</t>
  </si>
  <si>
    <t>An amount of eligible deposits ≤ $100,000 (200-080-01) must be entered whenever there is an amount of eligible deposits &gt; $100,001</t>
  </si>
  <si>
    <t>An amount of eligible deposits ≤ $100,000 (200-080-01) must be entered whenever there is an amount of eligible deposits &gt; $100,002</t>
  </si>
  <si>
    <t>Un montant de dépôts assurables ≤ 100 000 $ doit obligatoirement être indiqué lorsqu'un montant de dépôts assurables &gt; 100 000 $ est présent (200-085-01)</t>
  </si>
  <si>
    <t>Un montant de dépôts assurables ≤ 100 000 $ doit obligatoirement être indiqué lorsqu'un montant de dépôts assurables &gt; 100 000 $ est présent (200-086-01)</t>
  </si>
  <si>
    <t xml:space="preserve">An amount of eligible deposits ≤ $100,000 (200-085-01) must be entered whenever there is an amount of eligible deposits &gt; $100,000 </t>
  </si>
  <si>
    <t xml:space="preserve">An amount of eligible deposits ≤ $100,000 (200-086-01) must be entered whenever there is an amount of eligible deposits &gt; $100,000 </t>
  </si>
  <si>
    <t>193</t>
  </si>
  <si>
    <t>194</t>
  </si>
  <si>
    <t>Le nombre de déposants doit être non-nul puisque des dépôts assurables sont présents pour cette catégorie d'assurance (200-085-04 &amp; 200-085-05)</t>
  </si>
  <si>
    <t>Le nombre de déposants &gt; 100 000 $ doit être non-nul puisque des dépôts assurables &gt; 100 000 $ sont présents pour cette catégorie d'assurance (200-086-05)</t>
  </si>
  <si>
    <t xml:space="preserve">The number of depositors (200-085-04 &amp; 200-085-05) must not be nil since there are eligible deposits for this insurance class </t>
  </si>
  <si>
    <t xml:space="preserve">The number of depositors &gt; $100,000 (200-086-05) must not be nil since there are eligible deposits ≤ $100,000 for this insurance class </t>
  </si>
  <si>
    <t xml:space="preserve">The number of depositors &gt; $100,000 (200-085-05) must not be nil since there are eligible deposits ≤ $100,000 for this insurance class </t>
  </si>
  <si>
    <t>Le nombre de déposants &gt; 100 000 $ doit être non-nul puisque des dépôts assurables &gt; 100 000 $ sont présents pour cette catégorie d'assurance (200-085-05)</t>
  </si>
  <si>
    <t>195</t>
  </si>
  <si>
    <t>196</t>
  </si>
  <si>
    <t>Le nombre de déposants doit être non-nul puisque des dépôts assurables sont présents pour cette catégorie d'assurance (200-086-04 &amp; 200-086-05)</t>
  </si>
  <si>
    <t xml:space="preserve">The number of depositors (200-086-04 &amp; 200-086-05) must not be nil since there are eligible deposits for this insurance class </t>
  </si>
  <si>
    <t>197</t>
  </si>
  <si>
    <t>198</t>
  </si>
  <si>
    <t>199</t>
  </si>
  <si>
    <t>Le nombre de déposants ≤ 100 000 $ doit être nul puisqu'aucun dépôt assurable ≤ 100 000 $ n'est présent pour cette catégorie d'assurance (200-085-04)</t>
  </si>
  <si>
    <t>Le nombre de déposants &gt; 100 000 $ doit être nul puisqu'aucun dépôt assurable &gt; 100 000 $ n'est présent pour cette catégorie d'assurance (200-085-05)</t>
  </si>
  <si>
    <t>Le nombre de déposants ≤ 100 000 $ doit être nul puisqu'aucun dépôt assurable ≤ 100 000 $ n'est présent pour cette catégorie d'assurance (200-086-04)</t>
  </si>
  <si>
    <t>Le nombre de déposants &gt; 100 000 $ doit être nul puisqu'aucun dépôt assurable &gt; 100 000 $ n'est présent pour cette catégorie d'assurance (200-086-05)</t>
  </si>
  <si>
    <t xml:space="preserve">The number of depositors ≤ $100,000 (200-085-04) must be nil since there are no eligible deposits ≤ $100,000 for this insurance class </t>
  </si>
  <si>
    <t xml:space="preserve">The number of depositors &gt; $100,000 (200-085-05) must be nil since there are no eligible deposits ≤ $100,000 for this insurance class </t>
  </si>
  <si>
    <t xml:space="preserve">The number of depositors ≤ $100,000 (200-086-04) must be nil since there are no eligible deposits ≤ $100,000 for this insurance class </t>
  </si>
  <si>
    <t xml:space="preserve">The number of depositors &gt; $100,000 (200-086-05) must be nil since there are no eligible deposits ≤ $100,000 for this insurance class </t>
  </si>
  <si>
    <t>201</t>
  </si>
  <si>
    <t>202</t>
  </si>
  <si>
    <t>203</t>
  </si>
  <si>
    <t>204</t>
  </si>
  <si>
    <t>205</t>
  </si>
  <si>
    <t>206</t>
  </si>
  <si>
    <t>207</t>
  </si>
  <si>
    <t>208</t>
  </si>
  <si>
    <t>209</t>
  </si>
  <si>
    <t>210</t>
  </si>
  <si>
    <t>211</t>
  </si>
  <si>
    <t>212</t>
  </si>
  <si>
    <t>213</t>
  </si>
  <si>
    <t>Le champ 200-085-01 est obligatoire (indiquer 0 si nul)</t>
  </si>
  <si>
    <t>Le champ 200-085-02 est obligatoire (indiquer 0 si nul)</t>
  </si>
  <si>
    <t>Le champ 200-085-04 est obligatoire (indiquer 0 si nul)</t>
  </si>
  <si>
    <t>Le champ 200-085-05 est obligatoire (indiquer 0 si nul)</t>
  </si>
  <si>
    <t>Le champ 200-085-06 est obligatoire (indiquer 0 si nul)</t>
  </si>
  <si>
    <t>Field 200-085-01 is mandatory (enter 0 if nil)</t>
  </si>
  <si>
    <t>Field 200-085-02 is mandatory (enter 0 if nil)</t>
  </si>
  <si>
    <t>Field 200-085-04 is mandatory (enter 0 if nil)</t>
  </si>
  <si>
    <t>Field 200-085-05 is mandatory (enter 0 if nil)</t>
  </si>
  <si>
    <t>Field 200-085-06 is mandatory (enter 0 if nil)</t>
  </si>
  <si>
    <t>214</t>
  </si>
  <si>
    <t>215</t>
  </si>
  <si>
    <t>216</t>
  </si>
  <si>
    <t>217</t>
  </si>
  <si>
    <t>218</t>
  </si>
  <si>
    <t>Le champ 200-086-01 est obligatoire (indiquer 0 si nul)</t>
  </si>
  <si>
    <t>Le champ 200-086-02 est obligatoire (indiquer 0 si nul)</t>
  </si>
  <si>
    <t>Le champ 200-086-04 est obligatoire (indiquer 0 si nul)</t>
  </si>
  <si>
    <t>Le champ 200-086-05 est obligatoire (indiquer 0 si nul)</t>
  </si>
  <si>
    <t>Le champ 200-086-06 est obligatoire (indiquer 0 si nul)</t>
  </si>
  <si>
    <t>Field 200-086-01 is mandatory (enter 0 if nil)</t>
  </si>
  <si>
    <t>Field 200-086-02 is mandatory (enter 0 if nil)</t>
  </si>
  <si>
    <t>Field 200-086-04 is mandatory (enter 0 if nil)</t>
  </si>
  <si>
    <t>Field 200-086-05 is mandatory (enter 0 if nil)</t>
  </si>
  <si>
    <t>Field 200-086-06 is mandatory (enter 0 if nil)</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</si>
  <si>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</si>
  <si>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</si>
  <si>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</si>
  <si>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</si>
  <si>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</si>
  <si>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</si>
  <si>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</si>
  <si>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</si>
  <si>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</si>
  <si>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</si>
  <si>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</si>
  <si>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</si>
  <si>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</si>
  <si>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</si>
  <si>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</si>
  <si>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</si>
  <si>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</si>
  <si>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</si>
  <si>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</si>
  <si>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</si>
  <si>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</si>
  <si>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</si>
  <si>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</si>
  <si>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</si>
  <si>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</si>
  <si>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</si>
  <si>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</si>
  <si>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</si>
  <si>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</si>
  <si>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</si>
  <si>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</si>
  <si>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</si>
  <si>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</si>
  <si>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</si>
  <si>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</si>
  <si>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</si>
  <si>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</si>
  <si>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</si>
  <si>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</si>
  <si>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</si>
  <si>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219</t>
  </si>
  <si>
    <t>220</t>
  </si>
  <si>
    <t>Le champ 200-085-01 doit être ≥ 0</t>
  </si>
  <si>
    <t>Le champ 200-085-02 doit être ≥ 0</t>
  </si>
  <si>
    <t>Le champ 200-085-04 doit être ≥ 0</t>
  </si>
  <si>
    <t>Le champ 200-085-05 doit être ≥ 0</t>
  </si>
  <si>
    <t>Le champ 200-085-06 doit être ≥ 0</t>
  </si>
  <si>
    <t>Field 200-085-01 must be ≥ 0</t>
  </si>
  <si>
    <t>Field 200-085-02 must be ≥ 0</t>
  </si>
  <si>
    <t>Field 200-085-04 must be ≥ 0</t>
  </si>
  <si>
    <t>Field 200-085-05 must be ≥ 0</t>
  </si>
  <si>
    <t>Field 200-085-06 must be ≥ 0</t>
  </si>
  <si>
    <t>Field 200-086-01 must be ≥ 0</t>
  </si>
  <si>
    <t>Field 200-086-02 must be ≥ 0</t>
  </si>
  <si>
    <t>Field 200-086-04 must be ≥ 0</t>
  </si>
  <si>
    <t>Field 200-086-05 must be ≥ 0</t>
  </si>
  <si>
    <t>Field 200-086-06 must be ≥ 0</t>
  </si>
  <si>
    <t>Le champ 200-086-01 doit être ≥ 0</t>
  </si>
  <si>
    <t>Le champ 200-086-02 doit être ≥ 0</t>
  </si>
  <si>
    <t>Le champ 200-086-04 doit être ≥ 0</t>
  </si>
  <si>
    <t>Le champ 200-086-05 doit être ≥ 0</t>
  </si>
  <si>
    <t>Le champ 200-086-06 doit être ≥ 0</t>
  </si>
  <si>
    <t>Field 200-085-06 must be ≤ 200-085-03</t>
  </si>
  <si>
    <t>Le champ 200-085-06 doit être ≤ à 200-085-03</t>
  </si>
  <si>
    <t>Le champ 200-086-06 doit être ≤ à 200-086-03</t>
  </si>
  <si>
    <t>Field 200-086-06 must be ≤ 200-086-03</t>
  </si>
  <si>
    <t>DECLARATION OF GUARANTEED DEPOSITS</t>
  </si>
  <si>
    <t>Montant converti en dollars canadiens des dépôts en devises étrangères inclus dans la colonne (03).</t>
  </si>
  <si>
    <t>Les chèques doivent être faits à l'ordre de l'Autorité des marchés financiers.</t>
  </si>
  <si>
    <t xml:space="preserve">The cheques should be made payable to the Autorité des marchés financiers. </t>
  </si>
  <si>
    <t>To ensure that the AMF receives your payment before the July 15 deadline, please allow time for generation of the remittance slip and delivery of your payment.</t>
  </si>
  <si>
    <t>Déduire : Dépôts non admissibles</t>
  </si>
  <si>
    <t>Less: Ineligible deposits</t>
  </si>
  <si>
    <t>Sous-total dépôts admissibles</t>
  </si>
  <si>
    <t>Déduire : Montant excédant
100 000 $ par déposant</t>
  </si>
  <si>
    <t>Less: Amount exceeding
$100,000 per depositor</t>
  </si>
  <si>
    <t>Total des montants excédant la limite de protection de 100 000 $ par déposant, par catégorie de dépôts. Un déposant est une personne physique ou une personne morale. Pour les dépôts en copropriété, chaque groupe composé des mêmes personnes (physique ou morale) est un déposant.</t>
  </si>
  <si>
    <t>Aggregation of all amounts exceeding the protection limit of $100,000 for each depositor, per coverage category.  A depositor is an individual or a legal person.  Each combination of multiple persons that jointly own deposits should be considered one depositor.</t>
  </si>
  <si>
    <t xml:space="preserve">Dépôts admissibles reçus au Québec en date du </t>
  </si>
  <si>
    <t>1-Protection de base</t>
  </si>
  <si>
    <t>Afin de vous assurer que votre paiement parvienne à l'Autorité avant la date limite
du 15 juillet, veuillez prévoir le temps nécessaire à la génération du bordereau ainsi qu'à la 
transmission du paiement.</t>
  </si>
  <si>
    <t>Ventilation des dépôts admissibles reçus au Québec</t>
  </si>
  <si>
    <t>11-CELIAPP</t>
  </si>
  <si>
    <t>11-FHSA</t>
  </si>
  <si>
    <t>The sum of FHSAs is incorrect (200-087-03)</t>
  </si>
  <si>
    <t>L'addition des CELIAPP retourne un résultat incorrect (200-087-03)</t>
  </si>
  <si>
    <t>Un montant de dépôts assurables ≤ 100 000 $ doit obligatoirement être indiqué lorsqu'un montant de dépôts assurables &gt; 100 000 $ est présent (200-087-01)</t>
  </si>
  <si>
    <t xml:space="preserve">An amount of eligible deposits ≤ $100,000 (200-087-01) must be entered whenever there is an amount of eligible deposits &gt; $100,000 </t>
  </si>
  <si>
    <t>Le nombre de déposants &gt; 100 000 $ doit être non-nul puisque des dépôts assurables &gt; 100 000 $ sont présents pour cette catégorie d'assurance (200-087-05)</t>
  </si>
  <si>
    <t>Le nombre de déposants doit être non-nul puisque des dépôts assurables sont présents pour cette catégorie d'assurance (200-087-04 &amp; 200-087-05)</t>
  </si>
  <si>
    <t xml:space="preserve">The number of depositors &gt; $100,000 (200-087-05) must not be nil since there are eligible deposits ≤ $100,000 for this insurance class </t>
  </si>
  <si>
    <t xml:space="preserve">The number of depositors (200-087-04 &amp; 200-087-05) must not be nil since there are eligible deposits for this insurance class </t>
  </si>
  <si>
    <t>Le nombre de déposants ≤ 100 000 $ doit être nul puisqu'aucun dépôt assurable ≤ 100 000 $ n'est présent pour cette catégorie d'assurance (200-087-04)</t>
  </si>
  <si>
    <t>Le nombre de déposants &gt; 100 000 $ doit être nul puisqu'aucun dépôt assurable &gt; 100 000 $ n'est présent pour cette catégorie d'assurance (200-087-05)</t>
  </si>
  <si>
    <t xml:space="preserve">The number of depositors ≤ $100,000 (200-087-04) must be nil since there are no eligible deposits ≤ $100,000 for this insurance class </t>
  </si>
  <si>
    <t xml:space="preserve">The number of depositors &gt; $100,000 (200-087-05) must be nil since there are no eligible deposits ≤ $100,000 for this insurance class </t>
  </si>
  <si>
    <t>Le champ 200-087-02 est obligatoire (indiquer 0 si nul)</t>
  </si>
  <si>
    <t>Field 200-087-02 is mandatory (enter 0 if nil)</t>
  </si>
  <si>
    <t>Le champ 200-087-04 est obligatoire (indiquer 0 si nul)</t>
  </si>
  <si>
    <t>Field 200-087-04 is mandatory (enter 0 if nil)</t>
  </si>
  <si>
    <t>Le champ 200-087-05 est obligatoire (indiquer 0 si nul)</t>
  </si>
  <si>
    <t>Field 200-087-05 is mandatory (enter 0 if nil)</t>
  </si>
  <si>
    <t>Le champ 200-087-06 est obligatoire (indiquer 0 si nul)</t>
  </si>
  <si>
    <t>Field 200-087-06 is mandatory (enter 0 if nil)</t>
  </si>
  <si>
    <t>Le champ 200-087-01 est obligatoire (indiquer 0 si nul)</t>
  </si>
  <si>
    <t>Field 200-087-01 is mandatory (enter 0 if nil)</t>
  </si>
  <si>
    <t>Le champ 200-087-01 doit être ≥ 0</t>
  </si>
  <si>
    <t>Field 200-087-01 must be ≥ 0</t>
  </si>
  <si>
    <t>Le champ 200-087-02 doit être ≥ 0</t>
  </si>
  <si>
    <t>Field 200-087-02 must be ≥ 0</t>
  </si>
  <si>
    <t>Le champ 200-087-04 doit être ≥ 0</t>
  </si>
  <si>
    <t>Field 200-087-04 must be ≥ 0</t>
  </si>
  <si>
    <t>Le champ 200-087-05 doit être ≥ 0</t>
  </si>
  <si>
    <t>Field 200-087-05 must be ≥ 0</t>
  </si>
  <si>
    <t>Le champ 200-087-06 doit être ≥ 0</t>
  </si>
  <si>
    <t>Field 200-087-06 must be ≥ 0</t>
  </si>
  <si>
    <t>Le champ 200-087-06 doit être ≤ à 200-087-03</t>
  </si>
  <si>
    <t>Field 200-087-06 must be ≤ 200-087-03</t>
  </si>
  <si>
    <t>221</t>
  </si>
  <si>
    <t>222</t>
  </si>
  <si>
    <t>223</t>
  </si>
  <si>
    <t>224</t>
  </si>
  <si>
    <t>225</t>
  </si>
  <si>
    <t>226</t>
  </si>
  <si>
    <t>227</t>
  </si>
  <si>
    <t>228</t>
  </si>
  <si>
    <t>229</t>
  </si>
  <si>
    <t>230</t>
  </si>
  <si>
    <t>231</t>
  </si>
  <si>
    <t>232</t>
  </si>
  <si>
    <t>233</t>
  </si>
  <si>
    <t>234</t>
  </si>
  <si>
    <t>235</t>
  </si>
  <si>
    <t>236</t>
  </si>
  <si>
    <t>237</t>
  </si>
  <si>
    <t>238</t>
  </si>
  <si>
    <t>239</t>
  </si>
  <si>
    <t>Les montants supérieurs à 100 000$ indiqués ne doivent représenter que la partie excédant cette limite. Par exemple, pour un déposant ayant 120 000$ en protection de base, la colonne (01) devrait contenir 100 000$ et la colonne (02), 20 000$.</t>
  </si>
  <si>
    <t>Dépôts en dollars canadiens*, plus dépôts en devises étrangères** convertis en dollars canadiens</t>
  </si>
  <si>
    <t>Deposits in Canadian dollars*, plus deposits in foreign currencies** converted into Canadian dollars</t>
  </si>
  <si>
    <t>Les montants indiqués doivent être arrondis au dollar près - ne pas utiliser les milliers.</t>
  </si>
  <si>
    <t>The amounts entered must be rounded to the nearest dollar - do not use thousands.</t>
  </si>
  <si>
    <t>Les dépôts en devises étrangères doivent être convertis en dollars canadiens selon la méthode prévue à l’article 11.1 du Règlement d’application de la Loi sur les institutions de dépôts et la protection des dépôts (« RALIDPD »), RLRQ, c. I-13.2.2, r.1</t>
  </si>
  <si>
    <t>**</t>
  </si>
  <si>
    <t>Selon le lieu du dépôt, tel que défini à l'article 4 du RALIDPD.</t>
  </si>
  <si>
    <t>According to the place of deposit, as defined in section 4 of the RADIDPA.</t>
  </si>
  <si>
    <t>Dépôts admissibles en dollars canadiens, plus dépôts admissibles en devises étrangères convertis en dollars canadiens.</t>
  </si>
  <si>
    <t>Eligible deposits in Canadian dollars, plus eligible deposits in foreign currencies converted into Canadian dollars.</t>
  </si>
  <si>
    <t>Un déposant possédant plus de 100 000$ pour une garantie donnée ne doit être compté que dans la colonne (05).
Un déposant n'ayant que des comptes de solde nul (0$) ou négatif ne doit pas être compté dans ces colonnes,
en vertu de l'article 1 du RALIDPD.</t>
  </si>
  <si>
    <t>A depositor holding more than $100,000 for a given guaranteed deposit must be recorded only in column (05).
A depositor having only accounts with a balance of zero ($0) or less must not be recorded in these columns,
pursuant to section 1 of the RADIDPA.</t>
  </si>
  <si>
    <t>Deposits in foreign currencies must be converted into Canadian dollars using the method referred to in section 11.1 of the Regulation respecting the application of the Deposit Institutions and Deposit Protection Act ("RADIDPA"), CQLR, c. I-13.2.2, r.1.</t>
  </si>
  <si>
    <t>Category 4 (mandates) and Category 8 (property taxes) were removed when the RADIDPA was revised in 2021.</t>
  </si>
  <si>
    <t>Exclude deposits ineligible according to the Deposits Institutions and Deposit Protection Act and the RADIDPA.</t>
  </si>
  <si>
    <t>Exclure les dépôts non admissibles en vertu de la Loi sur les institutions de dépôts
et la protection des dépôts et du RALIDPD.</t>
  </si>
  <si>
    <t>Prime payable de 0,075% des dépôts garantis reçus au Québec (minimum 5000,00 $)</t>
  </si>
  <si>
    <t>Premium payable of 0.075% of guaranteed deposits received in Québec (minimum $5,000)</t>
  </si>
  <si>
    <t>Notez que les catégories 4 (mandats) et 8 (impôts fonciers) ont été abolies lors de la révision du RALIDPD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</si>
</sst>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0\ &quot;$&quot;"/>
    <numFmt numFmtId="167" formatCode="#,##0.00\ &quot;$&quot;"/>
    <numFmt numFmtId="168" formatCode="#,##0.00\ _$"/>
  </numFmts>
  <fonts count="48" x14ac:knownFonts="1">
    <font>
      <sz val="11"/>
      <color theme="1"/>
      <name val="Calibri"/>
      <family val="2"/>
      <scheme val="minor"/>
    </font>
    <font>
      <sz val="10"/>
      <color theme="1"/>
      <name val="Arial"/>
      <family val="2"/>
    </font>
    <font>
      <sz val="11"/>
      <color theme="1"/>
      <name val="Arial"/>
      <family val="2"/>
    </font>
    <font>
      <sz val="10"/>
      <color theme="1"/>
      <name val="Calibri"/>
      <family val="2"/>
      <scheme val="minor"/>
    </font>
    <font>
      <b/>
      <sz val="11"/>
      <color theme="1"/>
      <name val="Calibri"/>
      <family val="2"/>
      <scheme val="minor"/>
    </font>
    <font>
      <sz val="10"/>
      <name val="Calibri"/>
      <family val="2"/>
      <scheme val="minor"/>
    </font>
    <font>
      <b/>
      <sz val="12"/>
      <color theme="1"/>
      <name val="Calibri"/>
      <family val="2"/>
      <scheme val="minor"/>
    </font>
    <font>
      <u/>
      <sz val="11"/>
      <color theme="10"/>
      <name val="Arial"/>
      <family val="2"/>
    </font>
    <font>
      <sz val="11"/>
      <name val="Calibri"/>
      <family val="2"/>
      <scheme val="minor"/>
    </font>
    <font>
      <u/>
      <sz val="11"/>
      <color theme="10"/>
      <name val="Calibri"/>
      <family val="2"/>
      <scheme val="minor"/>
    </font>
    <font>
      <b/>
      <sz val="11"/>
      <name val="Calibri"/>
      <family val="2"/>
      <scheme val="minor"/>
    </font>
    <font>
      <b/>
      <i/>
      <sz val="11"/>
      <color theme="1"/>
      <name val="Calibri"/>
      <family val="2"/>
      <scheme val="minor"/>
    </font>
    <font>
      <sz val="11"/>
      <color rgb="FFFF0000"/>
      <name val="Calibri"/>
      <family val="2"/>
      <scheme val="minor"/>
    </font>
    <font>
      <b/>
      <sz val="10"/>
      <color theme="1"/>
      <name val="Calibri"/>
      <family val="2"/>
      <scheme val="minor"/>
    </font>
    <font>
      <sz val="9"/>
      <color theme="1"/>
      <name val="Calibri"/>
      <family val="2"/>
      <scheme val="minor"/>
    </font>
    <font>
      <sz val="6"/>
      <color theme="1"/>
      <name val="Calibri"/>
      <family val="2"/>
      <scheme val="minor"/>
    </font>
    <font>
      <sz val="9"/>
      <color rgb="FFFF0000"/>
      <name val="Calibri"/>
      <family val="2"/>
      <scheme val="minor"/>
    </font>
    <font>
      <sz val="10"/>
      <color rgb="FFFF0000"/>
      <name val="Calibri"/>
      <family val="2"/>
      <scheme val="minor"/>
    </font>
    <font>
      <sz val="9"/>
      <name val="Calibri"/>
      <family val="2"/>
      <scheme val="minor"/>
    </font>
    <font>
      <b/>
      <u/>
      <sz val="10"/>
      <color theme="1"/>
      <name val="Calibri"/>
      <family val="2"/>
      <scheme val="minor"/>
    </font>
    <font>
      <sz val="8"/>
      <name val="Calibri"/>
      <family val="2"/>
      <scheme val="minor"/>
    </font>
    <font>
      <sz val="8"/>
      <color theme="1"/>
      <name val="Calibri"/>
      <family val="2"/>
      <scheme val="minor"/>
    </font>
    <font>
      <sz val="8"/>
      <color rgb="FF000000"/>
      <name val="Tahoma"/>
      <family val="2"/>
    </font>
    <font>
      <sz val="3"/>
      <color theme="1"/>
      <name val="Calibri"/>
      <family val="2"/>
      <scheme val="minor"/>
    </font>
    <font>
      <b/>
      <sz val="9"/>
      <color rgb="FFFF0000"/>
      <name val="Calibri"/>
      <family val="2"/>
      <scheme val="minor"/>
    </font>
    <font>
      <b/>
      <sz val="9"/>
      <color theme="1"/>
      <name val="Calibri"/>
      <family val="2"/>
      <scheme val="minor"/>
    </font>
    <font>
      <b/>
      <u/>
      <sz val="11"/>
      <color theme="1"/>
      <name val="Calibri"/>
      <family val="2"/>
      <scheme val="minor"/>
    </font>
    <font>
      <u/>
      <sz val="9"/>
      <color theme="1"/>
      <name val="Calibri"/>
      <family val="2"/>
      <scheme val="minor"/>
    </font>
    <font>
      <u/>
      <sz val="11"/>
      <color theme="1"/>
      <name val="Calibri"/>
      <family val="2"/>
      <scheme val="minor"/>
    </font>
    <font>
      <sz val="10"/>
      <color rgb="FF222222"/>
      <name val="Arial"/>
      <family val="2"/>
    </font>
    <font>
      <b/>
      <sz val="11"/>
      <color rgb="FFFF0000"/>
      <name val="Calibri"/>
      <family val="2"/>
      <scheme val="minor"/>
    </font>
    <font>
      <b/>
      <sz val="10"/>
      <name val="Calibri"/>
      <family val="2"/>
      <scheme val="minor"/>
    </font>
    <font>
      <sz val="10"/>
      <name val="Arial"/>
      <family val="2"/>
    </font>
    <font>
      <b/>
      <sz val="9"/>
      <name val="Calibri"/>
      <family val="2"/>
      <scheme val="minor"/>
    </font>
    <font>
      <u/>
      <sz val="9"/>
      <color theme="10"/>
      <name val="Calibri"/>
      <family val="2"/>
      <scheme val="minor"/>
    </font>
    <font>
      <b/>
      <sz val="8"/>
      <name val="Calibri"/>
      <family val="2"/>
      <scheme val="minor"/>
    </font>
    <font>
      <sz val="7"/>
      <color theme="1"/>
      <name val="Calibri"/>
      <family val="2"/>
      <scheme val="minor"/>
    </font>
    <font>
      <sz val="11"/>
      <color rgb="FF222222"/>
      <name val="Calibri"/>
      <family val="2"/>
      <scheme val="minor"/>
    </font>
    <font>
      <sz val="6"/>
      <name val="Calibri"/>
      <family val="2"/>
      <scheme val="minor"/>
    </font>
    <font>
      <b/>
      <sz val="10"/>
      <color rgb="FF00B050"/>
      <name val="Calibri"/>
      <family val="2"/>
      <scheme val="minor"/>
    </font>
    <font>
      <sz val="12"/>
      <color rgb="FFFF0000"/>
      <name val="Calibri"/>
      <family val="2"/>
      <scheme val="minor"/>
    </font>
    <font>
      <b/>
      <sz val="12"/>
      <name val="Calibri"/>
      <family val="2"/>
      <scheme val="minor"/>
    </font>
    <font>
      <strike/>
      <sz val="10"/>
      <color theme="1"/>
      <name val="Calibri"/>
      <family val="2"/>
      <scheme val="minor"/>
    </font>
    <font>
      <sz val="9"/>
      <color rgb="FF0070C0"/>
      <name val="Calibri"/>
      <family val="2"/>
      <scheme val="minor"/>
    </font>
    <font>
      <sz val="10"/>
      <color theme="1"/>
      <name val="Calibri"/>
      <family val="2"/>
    </font>
    <font>
      <i/>
      <sz val="9"/>
      <name val="Calibri"/>
      <family val="2"/>
      <scheme val="minor"/>
    </font>
    <font>
      <sz val="11"/>
      <color theme="1"/>
      <name val="Calibri"/>
      <family val="2"/>
      <scheme val="minor"/>
    </font>
    <font>
      <sz val="10"/>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0" tint="-4.9592577898495437E-2"/>
        <bgColor indexed="64"/>
      </patternFill>
    </fill>
    <fill>
      <patternFill patternType="solid">
        <fgColor theme="4" tint="0.79985961485641044"/>
        <bgColor indexed="64"/>
      </patternFill>
    </fill>
    <fill>
      <patternFill patternType="solid">
        <fgColor theme="0" tint="-0.49980162968840602"/>
        <bgColor indexed="64"/>
      </patternFill>
    </fill>
    <fill>
      <patternFill patternType="solid">
        <fgColor theme="0" tint="-0.49983214819788202"/>
        <bgColor indexed="64"/>
      </patternFill>
    </fill>
    <fill>
      <patternFill patternType="solid">
        <fgColor theme="0" tint="-0.34980315561387981"/>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5" tint="0.39997558519241921"/>
        <bgColor indexed="64"/>
      </patternFill>
    </fill>
    <fill>
      <patternFill patternType="solid">
        <fgColor theme="6" tint="0.59993285927915285"/>
        <bgColor indexed="64"/>
      </patternFill>
    </fill>
    <fill>
      <patternFill patternType="solid">
        <fgColor theme="0" tint="-0.14993743705557422"/>
        <bgColor indexed="64"/>
      </patternFill>
    </fill>
  </fills>
  <borders count="21">
    <border>
      <left/>
      <right/>
      <top/>
      <bottom/>
      <diagonal/>
    </border>
    <border>
      <left/>
      <right style="thin">
        <color auto="1"/>
      </right>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32" fillId="0" borderId="0"/>
    <xf numFmtId="0" fontId="46" fillId="0" borderId="0"/>
  </cellStyleXfs>
  <cellXfs count="338">
    <xf numFmtId="0" fontId="0" fillId="0" borderId="0" xfId="0"/>
    <xf numFmtId="166" fontId="3" fillId="0" borderId="0" xfId="0" applyNumberFormat="1" applyFont="1" applyFill="1" applyBorder="1" applyProtection="1"/>
    <xf numFmtId="166" fontId="3" fillId="0" borderId="0" xfId="0" applyNumberFormat="1" applyFont="1" applyFill="1" applyBorder="1" applyAlignment="1" applyProtection="1">
      <alignment horizontal="left"/>
    </xf>
    <xf numFmtId="166" fontId="3" fillId="0" borderId="1" xfId="0" applyNumberFormat="1" applyFont="1" applyFill="1" applyBorder="1" applyProtection="1"/>
    <xf numFmtId="0" fontId="0" fillId="0" borderId="2" xfId="0" applyFont="1" applyBorder="1" applyProtection="1"/>
    <xf numFmtId="0" fontId="0" fillId="0" borderId="0" xfId="0" applyFont="1" applyBorder="1" applyProtection="1"/>
    <xf numFmtId="0" fontId="0" fillId="0" borderId="3" xfId="0" applyFont="1" applyBorder="1" applyProtection="1"/>
    <xf numFmtId="0" fontId="0" fillId="0" borderId="4" xfId="0" applyFont="1" applyBorder="1" applyProtection="1"/>
    <xf numFmtId="0" fontId="0" fillId="0" borderId="5" xfId="0" applyFont="1" applyBorder="1" applyProtection="1"/>
    <xf numFmtId="0" fontId="0" fillId="0" borderId="6" xfId="0" quotePrefix="1" applyFont="1" applyFill="1" applyBorder="1" applyAlignment="1" applyProtection="1">
      <alignment horizontal="center"/>
    </xf>
    <xf numFmtId="0" fontId="0" fillId="0" borderId="1" xfId="0" quotePrefix="1" applyFont="1" applyFill="1" applyBorder="1" applyAlignment="1" applyProtection="1">
      <alignment horizontal="center"/>
    </xf>
    <xf numFmtId="0" fontId="0" fillId="0" borderId="0" xfId="0" applyFont="1" applyFill="1" applyBorder="1" applyAlignment="1" applyProtection="1">
      <alignment horizontal="center"/>
    </xf>
    <xf numFmtId="0" fontId="0" fillId="0" borderId="1" xfId="0" applyFont="1" applyFill="1" applyBorder="1" applyAlignment="1" applyProtection="1">
      <alignment horizontal="center"/>
    </xf>
    <xf numFmtId="0" fontId="0" fillId="0" borderId="0" xfId="0" quotePrefix="1" applyFont="1" applyFill="1" applyBorder="1" applyAlignment="1" applyProtection="1">
      <alignment horizontal="center"/>
    </xf>
    <xf numFmtId="16" fontId="0" fillId="0" borderId="0" xfId="0" quotePrefix="1" applyNumberFormat="1" applyFont="1" applyFill="1" applyBorder="1" applyAlignment="1" applyProtection="1">
      <alignment horizontal="center"/>
    </xf>
    <xf numFmtId="0" fontId="3" fillId="0" borderId="0" xfId="0" applyFont="1" applyBorder="1" applyProtection="1"/>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3" fillId="0" borderId="9" xfId="0" applyFont="1" applyBorder="1" applyAlignment="1" applyProtection="1">
      <alignment horizontal="center" vertical="center" textRotation="90"/>
    </xf>
    <xf numFmtId="0" fontId="9" fillId="0" borderId="10" xfId="6" applyFont="1" applyBorder="1" applyAlignment="1" applyProtection="1">
      <alignment horizontal="center"/>
    </xf>
    <xf numFmtId="0" fontId="8" fillId="2" borderId="11" xfId="0" applyFont="1" applyFill="1" applyBorder="1" applyAlignment="1" applyProtection="1">
      <alignment horizontal="left" indent="1"/>
    </xf>
    <xf numFmtId="0" fontId="0" fillId="0" borderId="12" xfId="0" applyFont="1" applyBorder="1" applyAlignment="1" applyProtection="1">
      <alignment horizontal="center"/>
    </xf>
    <xf numFmtId="0" fontId="0" fillId="0" borderId="1" xfId="0" applyFont="1" applyBorder="1" applyAlignment="1" applyProtection="1"/>
    <xf numFmtId="0" fontId="4" fillId="3" borderId="13" xfId="0" applyFont="1" applyFill="1" applyBorder="1" applyAlignment="1" applyProtection="1">
      <alignment horizontal="center"/>
    </xf>
    <xf numFmtId="0" fontId="4" fillId="3" borderId="14" xfId="0" applyFont="1" applyFill="1" applyBorder="1" applyAlignment="1" applyProtection="1">
      <alignment horizontal="left" indent="7"/>
    </xf>
    <xf numFmtId="0" fontId="4" fillId="3" borderId="15" xfId="0" applyFont="1" applyFill="1" applyBorder="1" applyAlignment="1" applyProtection="1">
      <alignment horizontal="left" indent="7"/>
    </xf>
    <xf numFmtId="0" fontId="0" fillId="0" borderId="13" xfId="0" applyFont="1" applyBorder="1" applyAlignment="1" applyProtection="1"/>
    <xf numFmtId="0" fontId="0" fillId="0" borderId="4" xfId="0" applyFont="1" applyFill="1" applyBorder="1" applyAlignment="1" applyProtection="1">
      <alignment horizontal="left" indent="1"/>
    </xf>
    <xf numFmtId="0" fontId="0" fillId="0" borderId="15" xfId="0" applyFont="1" applyBorder="1" applyAlignment="1" applyProtection="1"/>
    <xf numFmtId="0" fontId="0" fillId="4" borderId="13" xfId="0" applyFont="1" applyFill="1" applyBorder="1" applyAlignment="1" applyProtection="1">
      <alignment horizontal="left"/>
    </xf>
    <xf numFmtId="0" fontId="3" fillId="0" borderId="0" xfId="0" applyFont="1" applyFill="1" applyBorder="1" applyProtection="1"/>
    <xf numFmtId="0" fontId="0" fillId="5" borderId="13" xfId="0" applyFont="1" applyFill="1" applyBorder="1" applyAlignment="1" applyProtection="1"/>
    <xf numFmtId="0" fontId="0" fillId="1" borderId="13" xfId="0" applyFont="1" applyFill="1" applyBorder="1" applyAlignment="1" applyProtection="1"/>
    <xf numFmtId="0" fontId="9" fillId="0" borderId="13" xfId="6" applyFont="1" applyBorder="1" applyAlignment="1" applyProtection="1">
      <alignment horizontal="center"/>
    </xf>
    <xf numFmtId="0" fontId="0" fillId="0" borderId="0" xfId="0" applyFont="1" applyFill="1" applyBorder="1" applyAlignment="1" applyProtection="1">
      <alignment horizontal="left" indent="1"/>
    </xf>
    <xf numFmtId="0" fontId="10" fillId="0" borderId="3" xfId="0" applyFont="1" applyBorder="1" applyAlignment="1" applyProtection="1"/>
    <xf numFmtId="0" fontId="6" fillId="0" borderId="0" xfId="0" applyFont="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5" fillId="0" borderId="3" xfId="0" applyFont="1" applyBorder="1" applyAlignment="1" applyProtection="1">
      <alignment horizontal="center"/>
    </xf>
    <xf numFmtId="0" fontId="3" fillId="0" borderId="1" xfId="0" applyFont="1" applyFill="1" applyBorder="1" applyProtection="1"/>
    <xf numFmtId="0" fontId="0" fillId="0" borderId="0" xfId="0" applyBorder="1" applyProtection="1"/>
    <xf numFmtId="0" fontId="0" fillId="0" borderId="1" xfId="0" applyFill="1" applyBorder="1" applyProtection="1"/>
    <xf numFmtId="0" fontId="13" fillId="0" borderId="6" xfId="0" applyFont="1" applyBorder="1" applyAlignment="1" applyProtection="1">
      <alignment horizontal="center" vertical="center" wrapText="1"/>
    </xf>
    <xf numFmtId="0" fontId="3" fillId="0" borderId="0" xfId="0" applyFont="1" applyBorder="1" applyAlignment="1" applyProtection="1">
      <alignment vertical="top"/>
    </xf>
    <xf numFmtId="0" fontId="31" fillId="0" borderId="6" xfId="0" applyFont="1" applyFill="1" applyBorder="1" applyAlignment="1" applyProtection="1">
      <alignment horizontal="center" vertical="center" wrapText="1"/>
    </xf>
    <xf numFmtId="0" fontId="13" fillId="0" borderId="1" xfId="0" applyFont="1" applyFill="1" applyBorder="1" applyAlignment="1" applyProtection="1">
      <alignment horizontal="center" vertical="top" wrapText="1"/>
    </xf>
    <xf numFmtId="0" fontId="13" fillId="0" borderId="0" xfId="0" applyFont="1" applyBorder="1" applyAlignment="1" applyProtection="1">
      <alignment horizontal="center" vertical="top" wrapText="1"/>
    </xf>
    <xf numFmtId="0" fontId="3" fillId="0" borderId="0" xfId="0" applyFont="1" applyBorder="1" applyAlignment="1" applyProtection="1">
      <alignment horizontal="left"/>
    </xf>
    <xf numFmtId="0" fontId="3" fillId="0" borderId="6" xfId="0" quotePrefix="1" applyFont="1" applyBorder="1" applyAlignment="1" applyProtection="1">
      <alignment horizontal="center" vertical="center"/>
    </xf>
    <xf numFmtId="0" fontId="3" fillId="0" borderId="6" xfId="0" quotePrefix="1" applyFont="1" applyBorder="1" applyAlignment="1" applyProtection="1">
      <alignment horizontal="center"/>
    </xf>
    <xf numFmtId="0" fontId="3" fillId="0" borderId="1" xfId="0" quotePrefix="1" applyFont="1" applyFill="1" applyBorder="1" applyAlignment="1" applyProtection="1">
      <alignment horizontal="center"/>
    </xf>
    <xf numFmtId="0" fontId="3" fillId="0" borderId="0" xfId="0" quotePrefix="1" applyFont="1" applyBorder="1" applyAlignment="1" applyProtection="1">
      <alignment horizontal="center"/>
    </xf>
    <xf numFmtId="0" fontId="3" fillId="0" borderId="0" xfId="0" quotePrefix="1" applyFont="1" applyBorder="1" applyAlignment="1" applyProtection="1">
      <alignment horizontal="left"/>
    </xf>
    <xf numFmtId="0" fontId="3" fillId="0" borderId="0" xfId="0" applyFont="1" applyBorder="1" applyAlignment="1" applyProtection="1">
      <alignment horizontal="left" wrapText="1"/>
    </xf>
    <xf numFmtId="14" fontId="3" fillId="0" borderId="6" xfId="0" quotePrefix="1" applyNumberFormat="1" applyFont="1" applyBorder="1" applyProtection="1"/>
    <xf numFmtId="166" fontId="3" fillId="0" borderId="0" xfId="0" applyNumberFormat="1" applyFont="1" applyBorder="1" applyProtection="1"/>
    <xf numFmtId="14" fontId="3" fillId="0" borderId="0" xfId="0" applyNumberFormat="1" applyFont="1" applyBorder="1" applyAlignment="1" applyProtection="1">
      <alignment horizontal="left"/>
    </xf>
    <xf numFmtId="0" fontId="1" fillId="0" borderId="0" xfId="0" applyFont="1" applyBorder="1" applyProtection="1"/>
    <xf numFmtId="15" fontId="1" fillId="0" borderId="0" xfId="0" applyNumberFormat="1" applyFont="1" applyBorder="1" applyProtection="1"/>
    <xf numFmtId="166" fontId="3" fillId="0" borderId="0" xfId="0" applyNumberFormat="1" applyFont="1" applyBorder="1" applyAlignment="1" applyProtection="1">
      <alignment horizontal="left"/>
    </xf>
    <xf numFmtId="166" fontId="3" fillId="0" borderId="1" xfId="0" applyNumberFormat="1" applyFont="1" applyFill="1" applyBorder="1" applyAlignment="1" applyProtection="1">
      <alignment horizontal="left"/>
    </xf>
    <xf numFmtId="0" fontId="2" fillId="0" borderId="0" xfId="0" applyFont="1" applyBorder="1" applyProtection="1"/>
    <xf numFmtId="0" fontId="3" fillId="0" borderId="6" xfId="0" quotePrefix="1" applyFont="1" applyBorder="1" applyAlignment="1" applyProtection="1">
      <alignment horizontal="left"/>
    </xf>
    <xf numFmtId="0" fontId="3" fillId="0" borderId="6" xfId="0" quotePrefix="1" applyFont="1" applyBorder="1" applyProtection="1"/>
    <xf numFmtId="0" fontId="3" fillId="0" borderId="0" xfId="0" quotePrefix="1" applyFont="1" applyBorder="1" applyProtection="1"/>
    <xf numFmtId="0" fontId="0" fillId="0" borderId="0" xfId="0" applyFont="1" applyBorder="1" applyAlignment="1" applyProtection="1">
      <alignment horizontal="left"/>
    </xf>
    <xf numFmtId="0" fontId="0" fillId="0" borderId="0" xfId="0" applyFill="1" applyBorder="1" applyProtection="1"/>
    <xf numFmtId="0" fontId="5" fillId="0" borderId="3" xfId="0" applyFont="1" applyBorder="1" applyAlignment="1" applyProtection="1">
      <alignment horizontal="center" vertical="top"/>
    </xf>
    <xf numFmtId="0" fontId="18" fillId="0" borderId="1" xfId="0" applyFont="1" applyFill="1" applyBorder="1" applyAlignment="1" applyProtection="1">
      <alignment horizontal="left" vertical="top" wrapText="1"/>
    </xf>
    <xf numFmtId="0" fontId="15" fillId="0" borderId="0" xfId="0" applyFont="1" applyBorder="1" applyProtection="1"/>
    <xf numFmtId="0" fontId="12" fillId="0" borderId="0" xfId="0" applyFont="1" applyBorder="1" applyProtection="1"/>
    <xf numFmtId="0" fontId="17" fillId="0" borderId="0" xfId="0" applyFont="1" applyBorder="1" applyAlignment="1" applyProtection="1">
      <alignment horizontal="left"/>
    </xf>
    <xf numFmtId="0" fontId="17" fillId="0" borderId="1" xfId="0" applyFont="1" applyFill="1" applyBorder="1" applyAlignment="1" applyProtection="1">
      <alignment horizontal="left"/>
    </xf>
    <xf numFmtId="0" fontId="29" fillId="0" borderId="3" xfId="0" applyFont="1" applyBorder="1" applyAlignment="1" applyProtection="1">
      <alignment horizontal="center" vertical="top"/>
    </xf>
    <xf numFmtId="0" fontId="16" fillId="0" borderId="0" xfId="0" applyFont="1" applyBorder="1" applyProtection="1"/>
    <xf numFmtId="0" fontId="16" fillId="0" borderId="1" xfId="0" applyFont="1" applyFill="1" applyBorder="1" applyProtection="1"/>
    <xf numFmtId="0" fontId="14" fillId="0" borderId="0" xfId="0" applyFont="1" applyBorder="1" applyProtection="1"/>
    <xf numFmtId="166" fontId="3" fillId="5" borderId="6" xfId="0" applyNumberFormat="1" applyFont="1" applyFill="1" applyBorder="1" applyProtection="1">
      <protection hidden="1"/>
    </xf>
    <xf numFmtId="167" fontId="3" fillId="5" borderId="6" xfId="0" applyNumberFormat="1" applyFont="1" applyFill="1" applyBorder="1" applyProtection="1">
      <protection hidden="1"/>
    </xf>
    <xf numFmtId="0" fontId="3" fillId="0" borderId="0" xfId="0" applyFont="1" applyBorder="1" applyAlignment="1" applyProtection="1">
      <alignment horizontal="center"/>
    </xf>
    <xf numFmtId="14" fontId="3" fillId="0" borderId="6" xfId="0" quotePrefix="1" applyNumberFormat="1" applyFont="1" applyBorder="1" applyAlignment="1" applyProtection="1">
      <alignment horizontal="center"/>
    </xf>
    <xf numFmtId="3" fontId="3" fillId="0" borderId="0" xfId="0" applyNumberFormat="1" applyFont="1" applyFill="1" applyBorder="1" applyProtection="1"/>
    <xf numFmtId="0" fontId="13" fillId="0" borderId="0" xfId="0" applyFont="1" applyBorder="1" applyAlignment="1" applyProtection="1">
      <alignment horizontal="left"/>
    </xf>
    <xf numFmtId="0" fontId="17" fillId="0" borderId="0" xfId="0" applyFont="1" applyBorder="1" applyAlignment="1" applyProtection="1">
      <alignment horizontal="center"/>
    </xf>
    <xf numFmtId="0" fontId="21" fillId="0" borderId="0" xfId="0" applyFont="1" applyBorder="1" applyProtection="1"/>
    <xf numFmtId="0" fontId="21" fillId="0" borderId="0" xfId="0" applyFont="1" applyBorder="1" applyAlignment="1" applyProtection="1">
      <alignment horizontal="left"/>
    </xf>
    <xf numFmtId="0" fontId="18" fillId="0" borderId="0" xfId="0" applyFont="1" applyBorder="1" applyAlignment="1" applyProtection="1">
      <alignment vertical="top" wrapText="1"/>
    </xf>
    <xf numFmtId="166" fontId="13" fillId="5" borderId="6" xfId="0" applyNumberFormat="1" applyFont="1" applyFill="1" applyBorder="1" applyProtection="1">
      <protection hidden="1"/>
    </xf>
    <xf numFmtId="0" fontId="6" fillId="0" borderId="0" xfId="0" applyNumberFormat="1" applyFont="1" applyBorder="1" applyAlignment="1" applyProtection="1">
      <alignment horizontal="center"/>
    </xf>
    <xf numFmtId="0" fontId="30" fillId="0" borderId="3" xfId="0" applyFont="1" applyBorder="1" applyAlignment="1" applyProtection="1"/>
    <xf numFmtId="0" fontId="12" fillId="0" borderId="3" xfId="0" applyFont="1" applyBorder="1" applyAlignment="1" applyProtection="1">
      <alignment horizontal="left"/>
    </xf>
    <xf numFmtId="0" fontId="12" fillId="0" borderId="0" xfId="0" applyFont="1" applyBorder="1" applyAlignment="1" applyProtection="1">
      <alignment horizontal="left"/>
    </xf>
    <xf numFmtId="0" fontId="0" fillId="0" borderId="3" xfId="0" applyBorder="1" applyProtection="1"/>
    <xf numFmtId="0" fontId="26" fillId="0" borderId="3" xfId="0" applyFont="1" applyBorder="1" applyAlignment="1" applyProtection="1">
      <alignment horizontal="right"/>
    </xf>
    <xf numFmtId="0" fontId="28" fillId="0" borderId="1" xfId="0" quotePrefix="1" applyFont="1" applyFill="1" applyBorder="1" applyAlignment="1" applyProtection="1">
      <alignment horizontal="center"/>
    </xf>
    <xf numFmtId="0" fontId="28" fillId="0" borderId="0" xfId="0" quotePrefix="1" applyFont="1" applyFill="1" applyBorder="1" applyAlignment="1" applyProtection="1">
      <alignment horizontal="center"/>
    </xf>
    <xf numFmtId="0" fontId="21" fillId="0" borderId="0" xfId="0" applyFont="1" applyBorder="1" applyAlignment="1" applyProtection="1">
      <alignment vertical="top" wrapText="1"/>
    </xf>
    <xf numFmtId="0" fontId="27" fillId="0" borderId="0" xfId="0" applyFont="1" applyBorder="1" applyAlignment="1" applyProtection="1">
      <alignment vertical="top" wrapText="1"/>
    </xf>
    <xf numFmtId="0" fontId="4" fillId="0" borderId="3" xfId="0" applyFont="1" applyBorder="1" applyAlignment="1" applyProtection="1">
      <alignment horizontal="right"/>
    </xf>
    <xf numFmtId="0" fontId="5" fillId="0" borderId="0" xfId="0" applyFont="1" applyBorder="1" applyAlignment="1" applyProtection="1">
      <alignment horizontal="center"/>
    </xf>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0" fillId="0" borderId="16" xfId="0" applyFont="1" applyBorder="1" applyAlignment="1" applyProtection="1">
      <alignment horizontal="center"/>
    </xf>
    <xf numFmtId="0" fontId="0" fillId="0" borderId="1" xfId="0" applyFont="1" applyBorder="1" applyAlignment="1" applyProtection="1">
      <alignment horizontal="center"/>
    </xf>
    <xf numFmtId="0" fontId="0" fillId="0" borderId="17" xfId="0" applyFont="1" applyBorder="1" applyAlignment="1" applyProtection="1">
      <alignment horizontal="center"/>
    </xf>
    <xf numFmtId="166" fontId="3" fillId="0" borderId="0" xfId="0" applyNumberFormat="1" applyFont="1" applyFill="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25" fillId="0" borderId="0" xfId="0" applyFont="1" applyBorder="1" applyProtection="1"/>
    <xf numFmtId="16" fontId="14" fillId="0" borderId="0" xfId="0" quotePrefix="1" applyNumberFormat="1" applyFont="1" applyBorder="1" applyProtection="1"/>
    <xf numFmtId="0" fontId="14" fillId="0" borderId="0" xfId="0" quotePrefix="1" applyFont="1" applyBorder="1" applyProtection="1"/>
    <xf numFmtId="0" fontId="4" fillId="0" borderId="0" xfId="0" applyFont="1" applyBorder="1" applyProtection="1"/>
    <xf numFmtId="0" fontId="0" fillId="0" borderId="0" xfId="0" applyBorder="1" applyAlignment="1" applyProtection="1">
      <alignment horizontal="center"/>
    </xf>
    <xf numFmtId="0" fontId="8" fillId="0" borderId="0" xfId="0" applyFont="1" applyBorder="1" applyProtection="1"/>
    <xf numFmtId="0" fontId="28" fillId="0" borderId="0" xfId="0" applyFont="1" applyBorder="1" applyProtection="1"/>
    <xf numFmtId="0" fontId="21" fillId="0" borderId="0" xfId="0" applyFont="1" applyBorder="1" applyAlignment="1" applyProtection="1">
      <alignment wrapText="1"/>
    </xf>
    <xf numFmtId="0" fontId="4" fillId="0" borderId="0" xfId="0" applyFont="1" applyBorder="1"/>
    <xf numFmtId="0" fontId="0" fillId="0" borderId="0" xfId="0" applyBorder="1"/>
    <xf numFmtId="9" fontId="0" fillId="0" borderId="0" xfId="0" applyNumberFormat="1" applyBorder="1"/>
    <xf numFmtId="0" fontId="0" fillId="0" borderId="0" xfId="0" quotePrefix="1" applyBorder="1"/>
    <xf numFmtId="14" fontId="3" fillId="0" borderId="3" xfId="0" quotePrefix="1" applyNumberFormat="1" applyFont="1" applyBorder="1" applyProtection="1"/>
    <xf numFmtId="0" fontId="3" fillId="0" borderId="3" xfId="0" quotePrefix="1" applyFont="1" applyBorder="1" applyAlignment="1" applyProtection="1">
      <alignment horizontal="left"/>
    </xf>
    <xf numFmtId="0" fontId="3" fillId="0" borderId="3" xfId="0" quotePrefix="1" applyFont="1" applyBorder="1" applyProtection="1"/>
    <xf numFmtId="14" fontId="0" fillId="0" borderId="15" xfId="0" quotePrefix="1" applyNumberFormat="1" applyFont="1" applyBorder="1" applyProtection="1"/>
    <xf numFmtId="166" fontId="13" fillId="5" borderId="13" xfId="0" applyNumberFormat="1" applyFont="1" applyFill="1" applyBorder="1" applyProtection="1">
      <protection hidden="1"/>
    </xf>
    <xf numFmtId="3" fontId="3" fillId="6" borderId="6" xfId="0" applyNumberFormat="1" applyFont="1" applyFill="1" applyBorder="1" applyProtection="1">
      <protection hidden="1"/>
    </xf>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0" fillId="0" borderId="0" xfId="0" applyFont="1" applyBorder="1" applyAlignment="1" applyProtection="1">
      <alignment horizontal="center"/>
    </xf>
    <xf numFmtId="0" fontId="0" fillId="0" borderId="1" xfId="0" applyFont="1" applyBorder="1" applyAlignment="1" applyProtection="1">
      <alignment horizontal="center"/>
    </xf>
    <xf numFmtId="0" fontId="14" fillId="0" borderId="0"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4" fontId="0" fillId="0" borderId="0" xfId="0" applyNumberFormat="1" applyBorder="1" applyProtection="1"/>
    <xf numFmtId="167" fontId="0" fillId="7" borderId="6" xfId="0" applyNumberFormat="1" applyFont="1" applyFill="1" applyBorder="1" applyProtection="1">
      <protection hidden="1"/>
    </xf>
    <xf numFmtId="167" fontId="4" fillId="7" borderId="6" xfId="0" applyNumberFormat="1" applyFont="1" applyFill="1" applyBorder="1" applyProtection="1">
      <protection hidden="1"/>
    </xf>
    <xf numFmtId="0" fontId="33" fillId="0" borderId="18" xfId="7" applyFont="1" applyFill="1" applyBorder="1" applyAlignment="1" applyProtection="1">
      <alignment horizontal="center" vertical="center" wrapText="1"/>
      <protection hidden="1"/>
    </xf>
    <xf numFmtId="2" fontId="25" fillId="0" borderId="18" xfId="7" applyNumberFormat="1" applyFont="1" applyFill="1" applyBorder="1" applyAlignment="1" applyProtection="1">
      <alignment horizontal="center" vertical="center" wrapText="1"/>
      <protection hidden="1"/>
    </xf>
    <xf numFmtId="0" fontId="14" fillId="0" borderId="2" xfId="0" applyNumberFormat="1" applyFont="1" applyFill="1" applyBorder="1" applyAlignment="1" applyProtection="1">
      <alignment horizontal="center"/>
      <protection hidden="1"/>
    </xf>
    <xf numFmtId="0" fontId="14" fillId="0" borderId="2" xfId="0" applyFont="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4" fillId="0" borderId="0" xfId="0" applyFont="1" applyBorder="1" applyAlignment="1" applyProtection="1">
      <alignment horizontal="center"/>
      <protection hidden="1"/>
    </xf>
    <xf numFmtId="49" fontId="14" fillId="0" borderId="4" xfId="0" applyNumberFormat="1" applyFont="1" applyFill="1" applyBorder="1" applyAlignment="1" applyProtection="1">
      <alignment horizontal="center"/>
      <protection hidden="1"/>
    </xf>
    <xf numFmtId="0" fontId="14" fillId="0" borderId="4" xfId="0" applyNumberFormat="1" applyFont="1" applyFill="1" applyBorder="1" applyAlignment="1" applyProtection="1">
      <alignment horizontal="center"/>
      <protection hidden="1"/>
    </xf>
    <xf numFmtId="0" fontId="14" fillId="0" borderId="4" xfId="0" applyFont="1" applyBorder="1" applyAlignment="1" applyProtection="1">
      <alignment horizontal="center"/>
      <protection hidden="1"/>
    </xf>
    <xf numFmtId="168" fontId="14" fillId="0" borderId="0" xfId="0" applyNumberFormat="1"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18" fillId="0" borderId="0" xfId="0" applyFont="1" applyBorder="1" applyAlignment="1" applyProtection="1">
      <alignment horizontal="center"/>
      <protection hidden="1"/>
    </xf>
    <xf numFmtId="0" fontId="18" fillId="0" borderId="4" xfId="0" applyFont="1" applyFill="1" applyBorder="1" applyAlignment="1" applyProtection="1">
      <alignment horizontal="center"/>
      <protection hidden="1"/>
    </xf>
    <xf numFmtId="0" fontId="18" fillId="0" borderId="4" xfId="0" applyFont="1" applyBorder="1" applyAlignment="1" applyProtection="1">
      <alignment horizontal="center"/>
      <protection hidden="1"/>
    </xf>
    <xf numFmtId="3" fontId="14" fillId="0" borderId="0" xfId="0" applyNumberFormat="1" applyFont="1" applyFill="1" applyBorder="1" applyAlignment="1" applyProtection="1">
      <alignment horizontal="center"/>
      <protection hidden="1"/>
    </xf>
    <xf numFmtId="0" fontId="18" fillId="0" borderId="0" xfId="7" applyFont="1" applyFill="1" applyBorder="1" applyAlignment="1" applyProtection="1">
      <alignment horizontal="left" vertical="top"/>
      <protection hidden="1"/>
    </xf>
    <xf numFmtId="0" fontId="34" fillId="0" borderId="0" xfId="6"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protection hidden="1"/>
    </xf>
    <xf numFmtId="0" fontId="18" fillId="0" borderId="0" xfId="7" applyFont="1" applyBorder="1" applyAlignment="1" applyProtection="1">
      <alignment horizontal="center" vertical="top" wrapText="1"/>
      <protection hidden="1"/>
    </xf>
    <xf numFmtId="0" fontId="18" fillId="0" borderId="0" xfId="7" applyFont="1" applyFill="1" applyBorder="1" applyAlignment="1" applyProtection="1">
      <alignment horizontal="left" vertical="top" wrapText="1"/>
      <protection hidden="1"/>
    </xf>
    <xf numFmtId="0" fontId="18" fillId="0" borderId="0" xfId="7" applyNumberFormat="1" applyFont="1" applyFill="1" applyBorder="1" applyAlignment="1" applyProtection="1">
      <alignment horizontal="left" vertical="top"/>
      <protection hidden="1"/>
    </xf>
    <xf numFmtId="0" fontId="15" fillId="0" borderId="0" xfId="0" applyFont="1" applyBorder="1" applyAlignment="1" applyProtection="1">
      <alignment wrapText="1"/>
    </xf>
    <xf numFmtId="0" fontId="36" fillId="0" borderId="0" xfId="0" applyFont="1" applyBorder="1" applyAlignment="1" applyProtection="1">
      <alignment wrapText="1"/>
    </xf>
    <xf numFmtId="0" fontId="3" fillId="0" borderId="0" xfId="0" applyFont="1" applyBorder="1" applyProtection="1"/>
    <xf numFmtId="0" fontId="3" fillId="0" borderId="0" xfId="0" applyFont="1" applyFill="1" applyBorder="1" applyProtection="1"/>
    <xf numFmtId="0" fontId="35" fillId="0" borderId="6" xfId="7" applyFont="1" applyFill="1" applyBorder="1" applyAlignment="1" applyProtection="1">
      <alignment horizontal="left" vertical="center" wrapText="1"/>
      <protection hidden="1"/>
    </xf>
    <xf numFmtId="0" fontId="20" fillId="0" borderId="0" xfId="7" applyFont="1" applyFill="1" applyBorder="1" applyAlignment="1" applyProtection="1">
      <alignment horizontal="left" vertical="top" wrapText="1"/>
      <protection hidden="1"/>
    </xf>
    <xf numFmtId="0" fontId="20" fillId="0" borderId="0" xfId="0" applyFont="1" applyFill="1" applyBorder="1" applyProtection="1">
      <protection hidden="1"/>
    </xf>
    <xf numFmtId="0" fontId="20" fillId="0" borderId="4" xfId="0" applyFont="1" applyFill="1" applyBorder="1" applyProtection="1">
      <protection hidden="1"/>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6" xfId="0" applyNumberFormat="1" applyFont="1" applyFill="1" applyBorder="1" applyProtection="1">
      <protection locked="0"/>
    </xf>
    <xf numFmtId="166" fontId="3" fillId="4" borderId="13" xfId="0" applyNumberFormat="1" applyFont="1" applyFill="1" applyBorder="1" applyProtection="1">
      <protection locked="0"/>
    </xf>
    <xf numFmtId="166" fontId="3" fillId="4" borderId="13" xfId="0" applyNumberFormat="1" applyFont="1" applyFill="1" applyBorder="1" applyProtection="1">
      <protection locked="0"/>
    </xf>
    <xf numFmtId="3" fontId="3" fillId="4" borderId="6" xfId="0" applyNumberFormat="1" applyFont="1" applyFill="1" applyBorder="1" applyProtection="1">
      <protection locked="0"/>
    </xf>
    <xf numFmtId="0" fontId="14" fillId="0" borderId="0" xfId="0" applyFont="1" applyBorder="1" applyAlignment="1" applyProtection="1">
      <alignment horizontal="left" vertical="top" wrapText="1"/>
    </xf>
    <xf numFmtId="167" fontId="14" fillId="0" borderId="0" xfId="0" applyNumberFormat="1" applyFont="1" applyFill="1" applyBorder="1" applyAlignment="1" applyProtection="1">
      <alignment horizontal="center"/>
      <protection hidden="1"/>
    </xf>
    <xf numFmtId="0" fontId="37" fillId="0" borderId="3" xfId="0" applyFont="1" applyBorder="1" applyAlignment="1" applyProtection="1">
      <alignment horizontal="center" vertical="top"/>
    </xf>
    <xf numFmtId="0" fontId="18"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49" fontId="33" fillId="0" borderId="6" xfId="7" applyNumberFormat="1" applyFont="1" applyFill="1" applyBorder="1" applyAlignment="1" applyProtection="1">
      <alignment horizontal="left" vertical="center"/>
      <protection hidden="1"/>
    </xf>
    <xf numFmtId="49" fontId="18" fillId="0" borderId="0" xfId="7" applyNumberFormat="1" applyFont="1" applyFill="1" applyBorder="1" applyAlignment="1" applyProtection="1">
      <alignment horizontal="left" vertical="top"/>
      <protection hidden="1"/>
    </xf>
    <xf numFmtId="0" fontId="21" fillId="0" borderId="0" xfId="0" applyFont="1" applyFill="1" applyBorder="1" applyProtection="1"/>
    <xf numFmtId="0" fontId="39" fillId="0" borderId="0" xfId="0" applyFont="1" applyBorder="1" applyAlignment="1" applyProtection="1">
      <alignment vertical="center" wrapText="1"/>
    </xf>
    <xf numFmtId="0" fontId="3" fillId="0" borderId="15" xfId="0" quotePrefix="1" applyFont="1" applyBorder="1" applyAlignment="1" applyProtection="1">
      <alignment horizontal="center"/>
    </xf>
    <xf numFmtId="3" fontId="3" fillId="4" borderId="15" xfId="0" applyNumberFormat="1" applyFont="1" applyFill="1" applyBorder="1" applyProtection="1">
      <protection locked="0"/>
    </xf>
    <xf numFmtId="3" fontId="3" fillId="6" borderId="17" xfId="0" applyNumberFormat="1" applyFont="1" applyFill="1" applyBorder="1" applyProtection="1">
      <protection hidden="1"/>
    </xf>
    <xf numFmtId="3" fontId="3" fillId="6" borderId="15" xfId="0" applyNumberFormat="1" applyFont="1" applyFill="1" applyBorder="1" applyProtection="1">
      <protection hidden="1"/>
    </xf>
    <xf numFmtId="3" fontId="13" fillId="5" borderId="15" xfId="0" applyNumberFormat="1" applyFont="1" applyFill="1" applyBorder="1" applyProtection="1">
      <protection hidden="1"/>
    </xf>
    <xf numFmtId="0" fontId="13" fillId="0" borderId="17" xfId="0" applyFont="1" applyBorder="1" applyAlignment="1" applyProtection="1">
      <alignment horizontal="center" vertical="center" wrapText="1"/>
    </xf>
    <xf numFmtId="49" fontId="18" fillId="0" borderId="4" xfId="7" applyNumberFormat="1" applyFont="1" applyFill="1" applyBorder="1" applyAlignment="1" applyProtection="1">
      <alignment horizontal="left" vertical="top"/>
      <protection hidden="1"/>
    </xf>
    <xf numFmtId="168" fontId="14" fillId="0" borderId="4" xfId="0" applyNumberFormat="1" applyFont="1" applyFill="1" applyBorder="1" applyAlignment="1" applyProtection="1">
      <alignment horizontal="center"/>
      <protection hidden="1"/>
    </xf>
    <xf numFmtId="0" fontId="0" fillId="8" borderId="6" xfId="0" applyFill="1" applyBorder="1" applyAlignment="1" applyProtection="1">
      <alignment horizontal="left"/>
      <protection locked="0" hidden="1"/>
    </xf>
    <xf numFmtId="0" fontId="5" fillId="0" borderId="0" xfId="0" applyFont="1" applyBorder="1" applyProtection="1"/>
    <xf numFmtId="0" fontId="31" fillId="0" borderId="19" xfId="0" quotePrefix="1" applyFont="1" applyBorder="1" applyAlignment="1" applyProtection="1">
      <alignment horizontal="center" vertical="center" wrapText="1"/>
    </xf>
    <xf numFmtId="0" fontId="5" fillId="0" borderId="6" xfId="0" quotePrefix="1" applyFont="1" applyBorder="1" applyAlignment="1" applyProtection="1">
      <alignment horizontal="center" vertical="center"/>
    </xf>
    <xf numFmtId="0" fontId="5" fillId="0" borderId="6" xfId="0" quotePrefix="1" applyFont="1" applyBorder="1" applyAlignment="1" applyProtection="1">
      <alignment horizontal="center"/>
    </xf>
    <xf numFmtId="0" fontId="0" fillId="0" borderId="0" xfId="0" applyBorder="1" applyAlignment="1" applyProtection="1">
      <alignment vertical="center"/>
    </xf>
    <xf numFmtId="0" fontId="8" fillId="0" borderId="3" xfId="0" applyFont="1" applyBorder="1" applyAlignment="1" applyProtection="1">
      <alignment horizontal="center" vertical="center"/>
    </xf>
    <xf numFmtId="0" fontId="8" fillId="0" borderId="3" xfId="0" applyFont="1" applyBorder="1" applyAlignment="1" applyProtection="1">
      <alignment horizontal="center"/>
    </xf>
    <xf numFmtId="0" fontId="8" fillId="0" borderId="0" xfId="0" applyFont="1" applyBorder="1" applyAlignment="1" applyProtection="1">
      <alignment horizontal="center"/>
    </xf>
    <xf numFmtId="0" fontId="20" fillId="0" borderId="0" xfId="0" applyFont="1" applyBorder="1" applyAlignment="1" applyProtection="1">
      <alignment horizontal="left" vertical="top" wrapText="1"/>
    </xf>
    <xf numFmtId="0" fontId="20" fillId="0" borderId="0" xfId="0" applyFont="1" applyFill="1" applyBorder="1" applyProtection="1"/>
    <xf numFmtId="166" fontId="42" fillId="9" borderId="13" xfId="0" applyNumberFormat="1" applyFont="1" applyFill="1" applyBorder="1" applyProtection="1"/>
    <xf numFmtId="166" fontId="42" fillId="9" borderId="6" xfId="0" applyNumberFormat="1" applyFont="1" applyFill="1" applyBorder="1" applyProtection="1"/>
    <xf numFmtId="3" fontId="42" fillId="9" borderId="6" xfId="0" applyNumberFormat="1" applyFont="1" applyFill="1" applyBorder="1" applyProtection="1"/>
    <xf numFmtId="3" fontId="42" fillId="9" borderId="15" xfId="0" applyNumberFormat="1" applyFont="1" applyFill="1" applyBorder="1" applyProtection="1"/>
    <xf numFmtId="0" fontId="42" fillId="9" borderId="0" xfId="0" applyFont="1" applyFill="1" applyBorder="1" applyProtection="1"/>
    <xf numFmtId="14" fontId="42" fillId="9" borderId="6" xfId="0" quotePrefix="1" applyNumberFormat="1" applyFont="1" applyFill="1" applyBorder="1" applyAlignment="1" applyProtection="1">
      <alignment horizontal="center"/>
    </xf>
    <xf numFmtId="166" fontId="42" fillId="10" borderId="6" xfId="0" applyNumberFormat="1" applyFont="1" applyFill="1" applyBorder="1" applyProtection="1">
      <protection hidden="1"/>
    </xf>
    <xf numFmtId="166" fontId="42" fillId="9" borderId="0" xfId="0" applyNumberFormat="1" applyFont="1" applyFill="1" applyBorder="1" applyAlignment="1" applyProtection="1">
      <alignment horizontal="left"/>
    </xf>
    <xf numFmtId="0" fontId="23" fillId="0" borderId="0" xfId="0" applyFont="1" applyBorder="1" applyAlignment="1" applyProtection="1">
      <alignment vertical="top" wrapText="1"/>
    </xf>
    <xf numFmtId="0" fontId="15" fillId="0" borderId="0" xfId="0" applyFont="1" applyBorder="1" applyAlignment="1" applyProtection="1">
      <alignment vertical="top" wrapText="1"/>
    </xf>
    <xf numFmtId="0" fontId="14" fillId="11" borderId="0" xfId="0" applyFont="1" applyFill="1" applyBorder="1" applyAlignment="1" applyProtection="1">
      <alignment horizontal="center"/>
      <protection hidden="1"/>
    </xf>
    <xf numFmtId="1" fontId="14" fillId="0" borderId="0" xfId="0" applyNumberFormat="1" applyFont="1" applyFill="1" applyBorder="1" applyAlignment="1" applyProtection="1">
      <alignment horizontal="center"/>
      <protection hidden="1"/>
    </xf>
    <xf numFmtId="0" fontId="18" fillId="11" borderId="0" xfId="0" applyFont="1" applyFill="1" applyBorder="1" applyAlignment="1" applyProtection="1">
      <alignment horizontal="center"/>
      <protection hidden="1"/>
    </xf>
    <xf numFmtId="0" fontId="0" fillId="11" borderId="0" xfId="0" applyFill="1" applyBorder="1"/>
    <xf numFmtId="0" fontId="15" fillId="0" borderId="0" xfId="0" applyFont="1" applyFill="1" applyBorder="1" applyProtection="1"/>
    <xf numFmtId="0" fontId="31" fillId="0" borderId="19" xfId="0" applyFont="1" applyBorder="1" applyAlignment="1" applyProtection="1">
      <alignment horizontal="center" vertical="center" wrapText="1"/>
    </xf>
    <xf numFmtId="0" fontId="14" fillId="12" borderId="0" xfId="0" applyFont="1" applyFill="1" applyBorder="1" applyProtection="1">
      <protection hidden="1"/>
    </xf>
    <xf numFmtId="0" fontId="33" fillId="12" borderId="6" xfId="7" applyFont="1" applyFill="1" applyBorder="1" applyAlignment="1" applyProtection="1">
      <alignment horizontal="center" vertical="center" wrapText="1"/>
      <protection hidden="1"/>
    </xf>
    <xf numFmtId="0" fontId="18" fillId="12" borderId="0" xfId="7" applyFont="1" applyFill="1" applyBorder="1" applyAlignment="1" applyProtection="1">
      <alignment horizontal="center" vertical="top"/>
      <protection hidden="1"/>
    </xf>
    <xf numFmtId="0" fontId="18" fillId="12" borderId="4" xfId="7" applyFont="1" applyFill="1" applyBorder="1" applyAlignment="1" applyProtection="1">
      <alignment horizontal="center" vertical="top"/>
      <protection hidden="1"/>
    </xf>
    <xf numFmtId="0" fontId="14" fillId="12" borderId="4" xfId="0" applyFont="1" applyFill="1" applyBorder="1" applyProtection="1">
      <protection hidden="1"/>
    </xf>
    <xf numFmtId="0" fontId="18" fillId="12" borderId="0" xfId="0" applyFont="1" applyFill="1" applyBorder="1" applyProtection="1">
      <protection hidden="1"/>
    </xf>
    <xf numFmtId="0" fontId="18" fillId="12" borderId="4" xfId="0" applyFont="1" applyFill="1" applyBorder="1" applyProtection="1">
      <protection hidden="1"/>
    </xf>
    <xf numFmtId="0" fontId="18" fillId="12" borderId="0" xfId="0" applyFont="1" applyFill="1" applyProtection="1"/>
    <xf numFmtId="0" fontId="33" fillId="0" borderId="6" xfId="7" applyFont="1" applyFill="1" applyBorder="1" applyAlignment="1" applyProtection="1">
      <alignment horizontal="center" vertical="center" wrapText="1"/>
      <protection hidden="1"/>
    </xf>
    <xf numFmtId="0" fontId="34" fillId="0" borderId="4" xfId="6" applyFont="1" applyFill="1" applyBorder="1" applyAlignment="1" applyProtection="1">
      <alignment horizontal="center" vertical="top" wrapText="1"/>
      <protection hidden="1"/>
    </xf>
    <xf numFmtId="0" fontId="18" fillId="0" borderId="0" xfId="7" applyFont="1" applyFill="1" applyBorder="1" applyAlignment="1" applyProtection="1">
      <alignment horizontal="center" vertical="top" wrapText="1"/>
      <protection hidden="1"/>
    </xf>
    <xf numFmtId="0" fontId="18" fillId="0" borderId="0" xfId="7" applyFont="1" applyFill="1" applyBorder="1" applyAlignment="1" applyProtection="1">
      <alignment vertical="center"/>
      <protection hidden="1"/>
    </xf>
    <xf numFmtId="0" fontId="18" fillId="0" borderId="4" xfId="7" applyFont="1" applyFill="1" applyBorder="1" applyAlignment="1" applyProtection="1">
      <alignment horizontal="left" vertical="top"/>
      <protection hidden="1"/>
    </xf>
    <xf numFmtId="0" fontId="20" fillId="0" borderId="0" xfId="7" applyFont="1" applyFill="1" applyBorder="1" applyAlignment="1" applyProtection="1">
      <alignment horizontal="left" vertical="top"/>
      <protection hidden="1"/>
    </xf>
    <xf numFmtId="0" fontId="43" fillId="0" borderId="0" xfId="7" applyFont="1" applyFill="1" applyBorder="1" applyAlignment="1" applyProtection="1">
      <alignment horizontal="left" vertical="top"/>
      <protection hidden="1"/>
    </xf>
    <xf numFmtId="0" fontId="14" fillId="0" borderId="0" xfId="0" applyFont="1" applyFill="1" applyBorder="1" applyProtection="1">
      <protection hidden="1"/>
    </xf>
    <xf numFmtId="0" fontId="14" fillId="0" borderId="4" xfId="0" applyFont="1" applyFill="1" applyBorder="1" applyProtection="1">
      <protection hidden="1"/>
    </xf>
    <xf numFmtId="0" fontId="18" fillId="0" borderId="0" xfId="0" applyFont="1" applyFill="1" applyBorder="1" applyProtection="1">
      <protection hidden="1"/>
    </xf>
    <xf numFmtId="0" fontId="18" fillId="0" borderId="4" xfId="0" applyFont="1" applyFill="1" applyBorder="1" applyProtection="1">
      <protection hidden="1"/>
    </xf>
    <xf numFmtId="3" fontId="18" fillId="0" borderId="0" xfId="6" applyNumberFormat="1" applyFont="1" applyFill="1" applyBorder="1" applyAlignment="1" applyProtection="1">
      <alignment horizontal="center"/>
      <protection hidden="1"/>
    </xf>
    <xf numFmtId="168" fontId="3" fillId="0" borderId="0" xfId="0" applyNumberFormat="1" applyFont="1" applyFill="1" applyBorder="1" applyAlignment="1" applyProtection="1">
      <alignment horizontal="center"/>
      <protection hidden="1"/>
    </xf>
    <xf numFmtId="0" fontId="18" fillId="0" borderId="0" xfId="0" applyFont="1" applyFill="1" applyProtection="1"/>
    <xf numFmtId="0" fontId="18" fillId="0" borderId="0" xfId="7" applyNumberFormat="1" applyFont="1" applyFill="1" applyBorder="1" applyAlignment="1" applyProtection="1">
      <alignment horizontal="center" vertical="top"/>
      <protection hidden="1"/>
    </xf>
    <xf numFmtId="1" fontId="18" fillId="0" borderId="0" xfId="7" applyNumberFormat="1" applyFont="1" applyFill="1" applyBorder="1" applyAlignment="1" applyProtection="1">
      <alignment horizontal="center" vertical="top" wrapText="1"/>
      <protection hidden="1"/>
    </xf>
    <xf numFmtId="1" fontId="18" fillId="0" borderId="0" xfId="0" applyNumberFormat="1" applyFont="1" applyFill="1" applyBorder="1" applyAlignment="1" applyProtection="1">
      <alignment horizontal="center"/>
      <protection hidden="1"/>
    </xf>
    <xf numFmtId="0" fontId="18" fillId="0" borderId="0" xfId="0" applyNumberFormat="1" applyFont="1" applyFill="1" applyBorder="1" applyAlignment="1" applyProtection="1">
      <alignment horizontal="center"/>
      <protection hidden="1"/>
    </xf>
    <xf numFmtId="0" fontId="21" fillId="0" borderId="0" xfId="0" applyFont="1" applyFill="1" applyBorder="1" applyAlignment="1" applyProtection="1">
      <alignment wrapText="1"/>
    </xf>
    <xf numFmtId="0" fontId="15" fillId="0" borderId="0" xfId="0" applyFont="1" applyAlignment="1">
      <alignment wrapText="1"/>
    </xf>
    <xf numFmtId="0" fontId="5" fillId="0" borderId="3" xfId="0" applyFont="1" applyBorder="1" applyAlignment="1">
      <alignment horizontal="center"/>
    </xf>
    <xf numFmtId="0" fontId="5" fillId="0" borderId="3" xfId="0" applyFont="1" applyBorder="1" applyAlignment="1">
      <alignment horizontal="center" vertical="top"/>
    </xf>
    <xf numFmtId="0" fontId="16" fillId="0" borderId="0" xfId="0" applyFont="1" applyBorder="1" applyAlignment="1" applyProtection="1">
      <alignment horizontal="left"/>
    </xf>
    <xf numFmtId="0" fontId="8" fillId="0" borderId="3" xfId="0" applyFont="1" applyBorder="1" applyAlignment="1" applyProtection="1">
      <alignment horizontal="center" vertical="top"/>
    </xf>
    <xf numFmtId="49" fontId="44" fillId="0" borderId="0" xfId="0" applyNumberFormat="1" applyFont="1" applyFill="1" applyBorder="1" applyAlignment="1" applyProtection="1">
      <alignment horizontal="left" vertical="top"/>
    </xf>
    <xf numFmtId="0" fontId="5" fillId="0" borderId="0" xfId="0" applyFont="1" applyFill="1" applyBorder="1" applyProtection="1"/>
    <xf numFmtId="0" fontId="0" fillId="0" borderId="0" xfId="0" applyFill="1" applyBorder="1"/>
    <xf numFmtId="0" fontId="15" fillId="0" borderId="0" xfId="0" applyFont="1" applyFill="1" applyAlignment="1">
      <alignment wrapText="1"/>
    </xf>
    <xf numFmtId="0" fontId="5" fillId="0" borderId="0" xfId="0" applyFont="1" applyFill="1" applyBorder="1" applyAlignment="1" applyProtection="1">
      <alignment vertical="top" wrapText="1"/>
    </xf>
    <xf numFmtId="0" fontId="10" fillId="0" borderId="0" xfId="0" applyFont="1" applyBorder="1" applyAlignment="1" applyProtection="1">
      <alignment horizontal="left"/>
    </xf>
    <xf numFmtId="0" fontId="10" fillId="0" borderId="1" xfId="0" applyFont="1" applyBorder="1" applyAlignment="1" applyProtection="1">
      <alignment horizontal="left"/>
    </xf>
    <xf numFmtId="0" fontId="3" fillId="0" borderId="20" xfId="0" applyFont="1" applyBorder="1" applyAlignment="1" applyProtection="1">
      <alignment horizontal="center"/>
    </xf>
    <xf numFmtId="0" fontId="3" fillId="0" borderId="4" xfId="0" applyFont="1" applyBorder="1" applyAlignment="1" applyProtection="1">
      <alignment horizontal="center"/>
    </xf>
    <xf numFmtId="0" fontId="3" fillId="0" borderId="17" xfId="0" applyFont="1" applyBorder="1" applyAlignment="1" applyProtection="1">
      <alignment horizontal="center"/>
    </xf>
    <xf numFmtId="0" fontId="11" fillId="0" borderId="3" xfId="0" applyFont="1" applyBorder="1" applyAlignment="1" applyProtection="1">
      <alignment horizontal="center"/>
    </xf>
    <xf numFmtId="0" fontId="11" fillId="0" borderId="0" xfId="0" applyFont="1" applyBorder="1" applyAlignment="1" applyProtection="1">
      <alignment horizontal="center"/>
    </xf>
    <xf numFmtId="0" fontId="24" fillId="0" borderId="0" xfId="0" applyFont="1" applyBorder="1" applyAlignment="1" applyProtection="1">
      <alignment horizontal="center"/>
    </xf>
    <xf numFmtId="49" fontId="0" fillId="4" borderId="13" xfId="0" applyNumberFormat="1" applyFont="1" applyFill="1" applyBorder="1" applyAlignment="1" applyProtection="1">
      <alignment horizontal="center"/>
      <protection locked="0"/>
    </xf>
    <xf numFmtId="49" fontId="0" fillId="4" borderId="14" xfId="0" applyNumberFormat="1" applyFont="1" applyFill="1" applyBorder="1" applyAlignment="1" applyProtection="1">
      <alignment horizontal="center"/>
      <protection locked="0"/>
    </xf>
    <xf numFmtId="49" fontId="0" fillId="4" borderId="15" xfId="0" applyNumberFormat="1" applyFont="1" applyFill="1" applyBorder="1" applyAlignment="1" applyProtection="1">
      <alignment horizontal="center"/>
      <protection locked="0"/>
    </xf>
    <xf numFmtId="0" fontId="4" fillId="0" borderId="3" xfId="0" applyFont="1" applyBorder="1" applyAlignment="1" applyProtection="1">
      <alignment horizontal="center"/>
    </xf>
    <xf numFmtId="0" fontId="4" fillId="0" borderId="0" xfId="0" applyFont="1" applyBorder="1" applyAlignment="1" applyProtection="1">
      <alignment horizontal="center"/>
    </xf>
    <xf numFmtId="0" fontId="4" fillId="0" borderId="1" xfId="0" applyFont="1" applyBorder="1" applyAlignment="1" applyProtection="1">
      <alignment horizontal="center"/>
    </xf>
    <xf numFmtId="0" fontId="10" fillId="0" borderId="3" xfId="0" applyFont="1" applyBorder="1" applyAlignment="1" applyProtection="1">
      <alignment horizontal="center"/>
    </xf>
    <xf numFmtId="0" fontId="10" fillId="0" borderId="0" xfId="0" applyFont="1" applyBorder="1" applyAlignment="1" applyProtection="1">
      <alignment horizontal="center"/>
    </xf>
    <xf numFmtId="0" fontId="10" fillId="0" borderId="1" xfId="0" applyFont="1" applyBorder="1" applyAlignment="1" applyProtection="1">
      <alignment horizontal="center"/>
    </xf>
    <xf numFmtId="0" fontId="10" fillId="0" borderId="3" xfId="0" applyFont="1" applyBorder="1" applyAlignment="1" applyProtection="1">
      <alignment horizontal="right"/>
    </xf>
    <xf numFmtId="0" fontId="10" fillId="0" borderId="0" xfId="0" applyFont="1" applyBorder="1" applyAlignment="1" applyProtection="1">
      <alignment horizontal="right"/>
    </xf>
    <xf numFmtId="0" fontId="0" fillId="0" borderId="5" xfId="0" applyFont="1" applyBorder="1" applyAlignment="1" applyProtection="1"/>
    <xf numFmtId="0" fontId="0" fillId="0" borderId="2" xfId="0" applyFont="1" applyBorder="1" applyAlignment="1" applyProtection="1"/>
    <xf numFmtId="0" fontId="0" fillId="0" borderId="3" xfId="0" applyFont="1" applyBorder="1" applyAlignment="1" applyProtection="1"/>
    <xf numFmtId="0" fontId="0" fillId="0" borderId="0" xfId="0" applyFont="1" applyBorder="1" applyAlignment="1" applyProtection="1"/>
    <xf numFmtId="0" fontId="4" fillId="0" borderId="0" xfId="0" applyFont="1" applyBorder="1" applyAlignment="1" applyProtection="1">
      <alignment horizontal="right"/>
    </xf>
    <xf numFmtId="0" fontId="4" fillId="4" borderId="13"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1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6"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0" fillId="0" borderId="5" xfId="0" applyFont="1" applyBorder="1" applyAlignment="1" applyProtection="1">
      <alignment horizontal="center"/>
    </xf>
    <xf numFmtId="0" fontId="0" fillId="0" borderId="2" xfId="0" applyFont="1" applyBorder="1" applyAlignment="1" applyProtection="1">
      <alignment horizontal="center"/>
    </xf>
    <xf numFmtId="0" fontId="0" fillId="0" borderId="16" xfId="0" applyFont="1" applyBorder="1" applyAlignment="1" applyProtection="1">
      <alignment horizontal="center"/>
    </xf>
    <xf numFmtId="0" fontId="0" fillId="0" borderId="3" xfId="0" applyFont="1" applyBorder="1" applyAlignment="1" applyProtection="1">
      <alignment horizontal="center"/>
    </xf>
    <xf numFmtId="0" fontId="0" fillId="0" borderId="0" xfId="0" applyFont="1" applyBorder="1" applyAlignment="1" applyProtection="1">
      <alignment horizontal="center"/>
    </xf>
    <xf numFmtId="0" fontId="0" fillId="0" borderId="1" xfId="0" applyFont="1" applyBorder="1" applyAlignment="1" applyProtection="1">
      <alignment horizontal="center"/>
    </xf>
    <xf numFmtId="0" fontId="0" fillId="0" borderId="20" xfId="0" applyFont="1" applyBorder="1" applyAlignment="1" applyProtection="1">
      <alignment horizontal="center"/>
    </xf>
    <xf numFmtId="0" fontId="0" fillId="0" borderId="4" xfId="0" applyFont="1" applyBorder="1" applyAlignment="1" applyProtection="1">
      <alignment horizontal="center"/>
    </xf>
    <xf numFmtId="0" fontId="0" fillId="0" borderId="17" xfId="0" applyFont="1" applyBorder="1" applyAlignment="1" applyProtection="1">
      <alignment horizontal="center"/>
    </xf>
    <xf numFmtId="0" fontId="18" fillId="0" borderId="0" xfId="0" applyFont="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5" fillId="0" borderId="20" xfId="0" applyFont="1" applyBorder="1" applyAlignment="1" applyProtection="1">
      <alignment horizontal="center"/>
    </xf>
    <xf numFmtId="0" fontId="5" fillId="0" borderId="4" xfId="0" applyFont="1" applyBorder="1" applyAlignment="1" applyProtection="1">
      <alignment horizontal="center"/>
    </xf>
    <xf numFmtId="0" fontId="5" fillId="0" borderId="17" xfId="0" applyFont="1" applyBorder="1" applyAlignment="1" applyProtection="1">
      <alignment horizontal="center"/>
    </xf>
    <xf numFmtId="0" fontId="3" fillId="0" borderId="0" xfId="0" applyFont="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38" fillId="0" borderId="0" xfId="0" applyFont="1" applyFill="1" applyBorder="1" applyAlignment="1" applyProtection="1">
      <alignment horizontal="left" vertical="top" wrapText="1"/>
    </xf>
    <xf numFmtId="0" fontId="6" fillId="0" borderId="6" xfId="0" applyNumberFormat="1" applyFont="1" applyBorder="1" applyAlignment="1" applyProtection="1">
      <alignment horizontal="center"/>
    </xf>
    <xf numFmtId="0" fontId="6" fillId="0" borderId="6" xfId="0" applyFont="1" applyBorder="1" applyAlignment="1" applyProtection="1">
      <alignment horizontal="center" vertical="center"/>
    </xf>
    <xf numFmtId="0" fontId="1" fillId="0" borderId="0" xfId="0" applyFont="1" applyBorder="1" applyAlignment="1" applyProtection="1">
      <alignment horizontal="left"/>
    </xf>
    <xf numFmtId="166" fontId="3" fillId="0" borderId="0" xfId="0" applyNumberFormat="1" applyFont="1" applyFill="1" applyBorder="1" applyAlignment="1" applyProtection="1">
      <alignment horizontal="left" vertical="top" wrapText="1"/>
    </xf>
    <xf numFmtId="166" fontId="3" fillId="0" borderId="0" xfId="0" applyNumberFormat="1" applyFont="1" applyFill="1" applyBorder="1" applyAlignment="1" applyProtection="1">
      <alignment horizontal="left" vertical="top"/>
    </xf>
    <xf numFmtId="0" fontId="15" fillId="0" borderId="0" xfId="0" applyFont="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5" fillId="0" borderId="3" xfId="0" applyFont="1" applyBorder="1" applyAlignment="1" applyProtection="1">
      <alignment horizontal="center" vertical="center"/>
    </xf>
    <xf numFmtId="0" fontId="40" fillId="0" borderId="0" xfId="0" applyFont="1" applyBorder="1" applyAlignment="1" applyProtection="1">
      <alignment horizontal="center"/>
    </xf>
    <xf numFmtId="0" fontId="20" fillId="0" borderId="0" xfId="0" applyFont="1" applyBorder="1" applyAlignment="1" applyProtection="1">
      <alignment horizontal="left" vertical="top" wrapText="1"/>
    </xf>
    <xf numFmtId="0" fontId="41" fillId="0" borderId="6" xfId="0" applyFont="1" applyBorder="1" applyAlignment="1" applyProtection="1">
      <alignment horizontal="center" vertical="center"/>
    </xf>
    <xf numFmtId="166" fontId="3" fillId="0" borderId="2" xfId="0" applyNumberFormat="1" applyFont="1" applyFill="1" applyBorder="1" applyAlignment="1" applyProtection="1">
      <alignment horizontal="right"/>
    </xf>
    <xf numFmtId="166" fontId="3" fillId="0" borderId="0" xfId="0" applyNumberFormat="1" applyFont="1" applyFill="1" applyBorder="1" applyAlignment="1" applyProtection="1">
      <alignment horizontal="right"/>
    </xf>
    <xf numFmtId="0" fontId="31" fillId="0" borderId="13"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31" fillId="0" borderId="0" xfId="0" applyFont="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27"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0" fillId="0" borderId="0" xfId="0" applyFont="1" applyBorder="1" applyAlignment="1" applyProtection="1"/>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xfId="8" xr:uid="{00000000-0005-0000-0000-000008000000}"/>
    <cellStyle name="Normal 2 2 2 2" xfId="7" xr:uid="{00000000-0005-0000-0000-000007000000}"/>
    <cellStyle name="Percent" xfId="1" xr:uid="{00000000-0005-0000-0000-000001000000}"/>
  </cellStyles>
  <dxfs count="61">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strike val="0"/>
        <color auto="1"/>
      </font>
      <fill>
        <patternFill>
          <bgColor theme="6" tint="0.59981078524124887"/>
        </patternFill>
      </fill>
    </dxf>
    <dxf>
      <fill>
        <patternFill>
          <bgColor theme="5" tint="0.59981078524124887"/>
        </patternFill>
      </fill>
    </dxf>
    <dxf>
      <font>
        <color rgb="FF006100"/>
      </font>
      <fill>
        <patternFill>
          <bgColor rgb="FFC6EFCE"/>
        </patternFill>
      </fill>
    </dxf>
    <dxf>
      <font>
        <color rgb="FF9C0006"/>
      </font>
      <fill>
        <patternFill>
          <bgColor rgb="FFFFC7CE"/>
        </patternFill>
      </fill>
    </dxf>
    <dxf>
      <font>
        <color rgb="FFC00000"/>
      </font>
    </dxf>
    <dxf>
      <font>
        <color rgb="FFC00000"/>
      </font>
    </dxf>
    <dxf>
      <font>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P$47"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114300</xdr:rowOff>
    </xdr:from>
    <xdr:to>
      <xdr:col>3</xdr:col>
      <xdr:colOff>657225</xdr:colOff>
      <xdr:row>4</xdr:row>
      <xdr:rowOff>85725</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304800"/>
          <a:ext cx="1381125"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12</xdr:row>
      <xdr:rowOff>180975</xdr:rowOff>
    </xdr:from>
    <xdr:to>
      <xdr:col>1</xdr:col>
      <xdr:colOff>504825</xdr:colOff>
      <xdr:row>13</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476250" y="2609850"/>
          <a:ext cx="219075" cy="190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twoCellAnchor editAs="oneCell">
    <xdr:from>
      <xdr:col>1</xdr:col>
      <xdr:colOff>9525</xdr:colOff>
      <xdr:row>1</xdr:row>
      <xdr:rowOff>123825</xdr:rowOff>
    </xdr:from>
    <xdr:to>
      <xdr:col>2</xdr:col>
      <xdr:colOff>590550</xdr:colOff>
      <xdr:row>4</xdr:row>
      <xdr:rowOff>95250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0025" y="314325"/>
          <a:ext cx="1381125"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632460</xdr:colOff>
          <xdr:row>40</xdr:row>
          <xdr:rowOff>137160</xdr:rowOff>
        </xdr:from>
        <xdr:to>
          <xdr:col>11</xdr:col>
          <xdr:colOff>541020</xdr:colOff>
          <xdr:row>45</xdr:row>
          <xdr:rowOff>30480</xdr:rowOff>
        </xdr:to>
        <xdr:sp macro="" textlink="">
          <xdr:nvSpPr>
            <xdr:cNvPr id="6161" name="Group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0" rIns="0" bIns="0" anchor="t"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41</xdr:row>
          <xdr:rowOff>22860</xdr:rowOff>
        </xdr:from>
        <xdr:to>
          <xdr:col>8</xdr:col>
          <xdr:colOff>617220</xdr:colOff>
          <xdr:row>41</xdr:row>
          <xdr:rowOff>144780</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42</xdr:row>
          <xdr:rowOff>30480</xdr:rowOff>
        </xdr:from>
        <xdr:to>
          <xdr:col>8</xdr:col>
          <xdr:colOff>617220</xdr:colOff>
          <xdr:row>42</xdr:row>
          <xdr:rowOff>144780</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43</xdr:row>
          <xdr:rowOff>7620</xdr:rowOff>
        </xdr:from>
        <xdr:to>
          <xdr:col>8</xdr:col>
          <xdr:colOff>617220</xdr:colOff>
          <xdr:row>43</xdr:row>
          <xdr:rowOff>152400</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640080</xdr:colOff>
          <xdr:row>44</xdr:row>
          <xdr:rowOff>7620</xdr:rowOff>
        </xdr:from>
        <xdr:to>
          <xdr:col>8</xdr:col>
          <xdr:colOff>617220</xdr:colOff>
          <xdr:row>44</xdr:row>
          <xdr:rowOff>152400</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fr-CA" sz="800" b="0" i="0" u="none" strike="noStrike" baseline="0">
                  <a:solidFill>
                    <a:srgbClr val="000000"/>
                  </a:solidFill>
                  <a:latin typeface="Tahoma"/>
                  <a:ea typeface="Tahoma"/>
                  <a:cs typeface="Tahoma"/>
                </a:rPr>
                <a:t>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D_Adj_Ass_Depots/_Assurance-D&#233;p&#244;ts/_FINANCEMENT/Misa%202.0/Fomulaires%20DDG/v1-Classifi&#233;%20PROD/1.03/DIVULGATIONS%20LA/AMF/S20%20-%20(12-31)/S20_TEMPLATE_FINAL.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baferl/AppData/Local/Microsoft/Windows/Temporary%20Internet%20Files/Content.Outlook/KL7QG9RP/Exemple-form-SFSE%20(d&#233;barr&#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assification"/>
      <sheetName val="Validations"/>
      <sheetName val="Page Titre"/>
      <sheetName val="0100"/>
      <sheetName val="0120"/>
      <sheetName val="0130"/>
      <sheetName val="0140"/>
      <sheetName val="0210"/>
      <sheetName val="0310"/>
      <sheetName val="0410"/>
      <sheetName val="0520"/>
      <sheetName val="0530"/>
      <sheetName val="0600"/>
      <sheetName val="0710"/>
      <sheetName val="0810"/>
      <sheetName val="0900"/>
      <sheetName val="1000"/>
    </sheetNames>
    <sheetDataSet>
      <sheetData sheetId="0"/>
      <sheetData sheetId="1"/>
      <sheetData sheetId="2"/>
      <sheetData sheetId="3"/>
      <sheetData sheetId="4"/>
      <sheetData sheetId="5"/>
      <sheetData sheetId="6"/>
      <sheetData sheetId="7">
        <row r="44">
          <cell r="I44">
            <v>0</v>
          </cell>
          <cell r="J44">
            <v>0</v>
          </cell>
          <cell r="K44">
            <v>0</v>
          </cell>
        </row>
      </sheetData>
      <sheetData sheetId="8">
        <row r="39">
          <cell r="I39">
            <v>0</v>
          </cell>
          <cell r="J39">
            <v>0</v>
          </cell>
        </row>
        <row r="40">
          <cell r="I40">
            <v>0</v>
          </cell>
          <cell r="J40">
            <v>0</v>
          </cell>
        </row>
        <row r="42">
          <cell r="I42">
            <v>0</v>
          </cell>
          <cell r="J42">
            <v>0</v>
          </cell>
          <cell r="K42">
            <v>0</v>
          </cell>
        </row>
      </sheetData>
      <sheetData sheetId="9">
        <row r="58">
          <cell r="J58">
            <v>0</v>
          </cell>
          <cell r="K58">
            <v>0</v>
          </cell>
        </row>
      </sheetData>
      <sheetData sheetId="10">
        <row r="43">
          <cell r="I43">
            <v>0</v>
          </cell>
          <cell r="J43">
            <v>0</v>
          </cell>
        </row>
        <row r="44">
          <cell r="I44">
            <v>0</v>
          </cell>
          <cell r="J44">
            <v>0</v>
          </cell>
        </row>
      </sheetData>
      <sheetData sheetId="11">
        <row r="21">
          <cell r="P21">
            <v>0</v>
          </cell>
          <cell r="Q21">
            <v>0</v>
          </cell>
        </row>
        <row r="24">
          <cell r="P24">
            <v>0</v>
          </cell>
          <cell r="Q24">
            <v>0</v>
          </cell>
        </row>
        <row r="29">
          <cell r="P29">
            <v>0</v>
          </cell>
          <cell r="Q29">
            <v>0</v>
          </cell>
        </row>
        <row r="32">
          <cell r="P32">
            <v>0</v>
          </cell>
          <cell r="Q32">
            <v>0</v>
          </cell>
        </row>
      </sheetData>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tion"/>
      <sheetName val="T des M - T of C"/>
      <sheetName val="Certification"/>
      <sheetName val="100"/>
      <sheetName val="300"/>
      <sheetName val="400"/>
      <sheetName val="1180"/>
      <sheetName val="1200"/>
      <sheetName val="1665"/>
      <sheetName val="2345"/>
      <sheetName val="4010"/>
      <sheetName val="4050"/>
      <sheetName val="4060"/>
      <sheetName val="4090"/>
      <sheetName val="4095"/>
      <sheetName val="Validation"/>
    </sheetNames>
    <sheetDataSet>
      <sheetData sheetId="0">
        <row r="2">
          <cell r="W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ID"/>
  <dimension ref="A2:Y19"/>
  <sheetViews>
    <sheetView tabSelected="1" zoomScaleNormal="100" zoomScalePageLayoutView="115" workbookViewId="0">
      <selection activeCell="B6" sqref="B6:K6"/>
    </sheetView>
  </sheetViews>
  <sheetFormatPr baseColWidth="10" defaultColWidth="0" defaultRowHeight="14.4" x14ac:dyDescent="0.3"/>
  <cols>
    <col min="1" max="1" width="2.88671875" style="5" customWidth="1"/>
    <col min="2" max="2" width="1.44140625" style="5" customWidth="1"/>
    <col min="3" max="3" width="9.5546875" style="5" customWidth="1"/>
    <col min="4" max="4" width="12.6640625" style="5" customWidth="1"/>
    <col min="5" max="5" width="11.5546875" style="5" customWidth="1"/>
    <col min="6" max="6" width="12.6640625" style="5" customWidth="1"/>
    <col min="7" max="7" width="11.5546875" style="5" customWidth="1"/>
    <col min="8" max="8" width="10.109375" style="5" customWidth="1"/>
    <col min="9" max="9" width="8.5546875" style="5" customWidth="1"/>
    <col min="10" max="10" width="4" style="5" customWidth="1"/>
    <col min="11" max="11" width="1.44140625" style="5" customWidth="1"/>
    <col min="12" max="12" width="32.88671875" style="78" hidden="1" customWidth="1"/>
    <col min="13" max="13" width="10" style="78" hidden="1" customWidth="1"/>
    <col min="14" max="14" width="31.109375" style="78" hidden="1" customWidth="1"/>
    <col min="15" max="15" width="16.109375" style="78" hidden="1" customWidth="1"/>
    <col min="16" max="16" width="2.88671875" style="5" customWidth="1"/>
    <col min="17" max="16384" width="11.44140625" style="5" hidden="1"/>
  </cols>
  <sheetData>
    <row r="2" spans="2:25" x14ac:dyDescent="0.3">
      <c r="B2" s="279"/>
      <c r="C2" s="280"/>
      <c r="D2" s="280"/>
      <c r="E2" s="4"/>
      <c r="F2" s="4"/>
      <c r="G2" s="4"/>
      <c r="H2" s="4"/>
      <c r="I2" s="4"/>
      <c r="J2" s="4"/>
      <c r="K2" s="105"/>
      <c r="L2" s="267" t="s">
        <v>92</v>
      </c>
      <c r="M2" s="267"/>
      <c r="N2" s="267"/>
      <c r="O2" s="267"/>
    </row>
    <row r="3" spans="2:25" x14ac:dyDescent="0.3">
      <c r="B3" s="281"/>
      <c r="C3" s="282"/>
      <c r="D3" s="282"/>
      <c r="H3" s="283"/>
      <c r="I3" s="283"/>
      <c r="J3" s="104"/>
      <c r="K3" s="106"/>
    </row>
    <row r="4" spans="2:25" x14ac:dyDescent="0.3">
      <c r="B4" s="281"/>
      <c r="C4" s="282"/>
      <c r="D4" s="282"/>
      <c r="K4" s="106"/>
    </row>
    <row r="5" spans="2:25" x14ac:dyDescent="0.3">
      <c r="B5" s="281"/>
      <c r="C5" s="282"/>
      <c r="D5" s="282"/>
      <c r="K5" s="106"/>
      <c r="L5" s="112" t="s">
        <v>16</v>
      </c>
      <c r="M5" s="112" t="s">
        <v>17</v>
      </c>
      <c r="N5" s="112" t="s">
        <v>18</v>
      </c>
      <c r="O5" s="112" t="s">
        <v>22</v>
      </c>
    </row>
    <row r="6" spans="2:25" x14ac:dyDescent="0.3">
      <c r="B6" s="284" t="s">
        <v>5</v>
      </c>
      <c r="C6" s="285"/>
      <c r="D6" s="285"/>
      <c r="E6" s="285"/>
      <c r="F6" s="285"/>
      <c r="G6" s="285"/>
      <c r="H6" s="285"/>
      <c r="I6" s="285"/>
      <c r="J6" s="285"/>
      <c r="K6" s="286"/>
    </row>
    <row r="7" spans="2:25" x14ac:dyDescent="0.3">
      <c r="B7" s="102"/>
      <c r="C7" s="103"/>
      <c r="D7" s="103"/>
      <c r="K7" s="106"/>
    </row>
    <row r="8" spans="2:25" x14ac:dyDescent="0.3">
      <c r="B8" s="271" t="str">
        <f>IF(LangueChoisie=LangueFR,Identification!L8,Identification!N8)</f>
        <v>DÉCLARATION DES DÉPÔTS GARANTIS</v>
      </c>
      <c r="C8" s="272"/>
      <c r="D8" s="272"/>
      <c r="E8" s="272"/>
      <c r="F8" s="272"/>
      <c r="G8" s="272"/>
      <c r="H8" s="272"/>
      <c r="I8" s="272"/>
      <c r="J8" s="272"/>
      <c r="K8" s="273"/>
      <c r="L8" s="78" t="s">
        <v>12</v>
      </c>
      <c r="N8" s="78" t="s">
        <v>828</v>
      </c>
    </row>
    <row r="9" spans="2:25" x14ac:dyDescent="0.3">
      <c r="B9" s="274" t="str">
        <f>IF((LangueChoisie=LangueFR)*AND(_Ident020=CharteQC),L9,IF((LangueChoisie=LangueFR)*AND(_Ident020&lt;&gt;CharteQC),M9,IF((LangueChoisie=LangueEN)*AND(_Ident020=CharteQC),N9,O9)))</f>
        <v>AVEC PRIME</v>
      </c>
      <c r="C9" s="275"/>
      <c r="D9" s="275"/>
      <c r="E9" s="275"/>
      <c r="F9" s="275"/>
      <c r="G9" s="275"/>
      <c r="H9" s="275"/>
      <c r="I9" s="275"/>
      <c r="J9" s="275"/>
      <c r="K9" s="276"/>
      <c r="L9" s="78" t="s">
        <v>19</v>
      </c>
      <c r="M9" s="78" t="s">
        <v>20</v>
      </c>
      <c r="N9" s="78" t="s">
        <v>23</v>
      </c>
      <c r="O9" s="78" t="s">
        <v>21</v>
      </c>
    </row>
    <row r="10" spans="2:25" x14ac:dyDescent="0.3">
      <c r="B10" s="274" t="str">
        <f>IF(LangueChoisie=LangueFR,Identification!L10,Identification!N10)</f>
        <v>Loi sur les institutions de dépôts et la protection des dépôts (RLRQ c. I-13.2.2)</v>
      </c>
      <c r="C10" s="275"/>
      <c r="D10" s="275"/>
      <c r="E10" s="275"/>
      <c r="F10" s="275"/>
      <c r="G10" s="275"/>
      <c r="H10" s="275"/>
      <c r="I10" s="275"/>
      <c r="J10" s="275"/>
      <c r="K10" s="276"/>
      <c r="L10" s="78" t="s">
        <v>607</v>
      </c>
      <c r="N10" s="78" t="s">
        <v>608</v>
      </c>
    </row>
    <row r="11" spans="2:25" x14ac:dyDescent="0.3">
      <c r="B11" s="6"/>
      <c r="I11" s="7"/>
      <c r="J11" s="7"/>
      <c r="K11" s="107"/>
    </row>
    <row r="12" spans="2:25" x14ac:dyDescent="0.3">
      <c r="B12" s="8"/>
      <c r="C12" s="4"/>
      <c r="D12" s="4"/>
      <c r="E12" s="4"/>
      <c r="F12" s="4"/>
      <c r="G12" s="4"/>
      <c r="H12" s="4"/>
      <c r="K12" s="106"/>
    </row>
    <row r="13" spans="2:25" x14ac:dyDescent="0.3">
      <c r="B13" s="35"/>
      <c r="C13" s="260" t="str">
        <f>IF(LangueChoisie=LangueFR,L13,N13)</f>
        <v>Nom de l'institution :</v>
      </c>
      <c r="D13" s="261"/>
      <c r="E13" s="268"/>
      <c r="F13" s="269"/>
      <c r="G13" s="269"/>
      <c r="H13" s="269"/>
      <c r="I13" s="270"/>
      <c r="J13" s="9" t="s">
        <v>8</v>
      </c>
      <c r="K13" s="10"/>
      <c r="L13" s="78" t="s">
        <v>1</v>
      </c>
      <c r="N13" s="78" t="s">
        <v>273</v>
      </c>
    </row>
    <row r="14" spans="2:25" ht="8.25" customHeight="1" x14ac:dyDescent="0.3">
      <c r="B14" s="277"/>
      <c r="C14" s="278"/>
      <c r="D14" s="278"/>
      <c r="E14" s="11"/>
      <c r="F14" s="11"/>
      <c r="G14" s="11"/>
      <c r="H14" s="11"/>
      <c r="I14" s="11"/>
      <c r="J14" s="11"/>
      <c r="K14" s="12"/>
      <c r="S14" s="265"/>
      <c r="T14" s="266"/>
      <c r="U14" s="266"/>
      <c r="V14" s="266"/>
      <c r="W14" s="266"/>
      <c r="X14" s="266"/>
      <c r="Y14" s="266"/>
    </row>
    <row r="15" spans="2:25" x14ac:dyDescent="0.3">
      <c r="B15" s="35"/>
      <c r="C15" s="260" t="str">
        <f>IF(LangueChoisie=LangueFR,L15,N15)</f>
        <v>Charte de l'institution :</v>
      </c>
      <c r="D15" s="261"/>
      <c r="E15" s="268" t="s">
        <v>0</v>
      </c>
      <c r="F15" s="269"/>
      <c r="G15" s="269"/>
      <c r="H15" s="269"/>
      <c r="I15" s="270"/>
      <c r="J15" s="9" t="s">
        <v>9</v>
      </c>
      <c r="K15" s="10"/>
      <c r="L15" s="78" t="s">
        <v>7</v>
      </c>
      <c r="N15" s="78" t="s">
        <v>274</v>
      </c>
    </row>
    <row r="16" spans="2:25" ht="8.25" customHeight="1" x14ac:dyDescent="0.3">
      <c r="B16" s="277"/>
      <c r="C16" s="278"/>
      <c r="D16" s="278"/>
      <c r="E16" s="11"/>
      <c r="F16" s="11"/>
      <c r="G16" s="11"/>
      <c r="H16" s="11"/>
      <c r="I16" s="11"/>
      <c r="J16" s="13"/>
      <c r="K16" s="10"/>
    </row>
    <row r="17" spans="2:15" x14ac:dyDescent="0.3">
      <c r="B17" s="35"/>
      <c r="C17" s="260" t="str">
        <f>IF(LangueChoisie=LangueFR,L17,N17)</f>
        <v>Au :</v>
      </c>
      <c r="D17" s="260"/>
      <c r="E17" s="14" t="str">
        <f>IF(LangueChoisie=LangueFR,L18,N18)</f>
        <v>30 avril</v>
      </c>
      <c r="F17" s="268">
        <v>2024</v>
      </c>
      <c r="G17" s="269"/>
      <c r="H17" s="269"/>
      <c r="I17" s="270"/>
      <c r="J17" s="9" t="s">
        <v>10</v>
      </c>
      <c r="K17" s="10"/>
      <c r="L17" s="78" t="s">
        <v>271</v>
      </c>
      <c r="N17" s="78" t="s">
        <v>272</v>
      </c>
    </row>
    <row r="18" spans="2:15" x14ac:dyDescent="0.3">
      <c r="B18" s="6"/>
      <c r="K18" s="106"/>
      <c r="L18" s="113" t="s">
        <v>11</v>
      </c>
      <c r="M18" s="113"/>
      <c r="N18" s="114" t="s">
        <v>275</v>
      </c>
      <c r="O18" s="114"/>
    </row>
    <row r="19" spans="2:15" x14ac:dyDescent="0.3">
      <c r="B19" s="262"/>
      <c r="C19" s="263"/>
      <c r="D19" s="263"/>
      <c r="E19" s="263"/>
      <c r="F19" s="263"/>
      <c r="G19" s="263"/>
      <c r="H19" s="263"/>
      <c r="I19" s="263"/>
      <c r="J19" s="263"/>
      <c r="K19" s="264"/>
      <c r="L19" s="113"/>
      <c r="M19" s="113"/>
      <c r="N19" s="114"/>
      <c r="O19" s="114"/>
    </row>
  </sheetData>
  <sheetProtection algorithmName="SHA-512" hashValue="syDzgrErLftxFf5eOFgVPgwsu/qxjoVR708j3qbzZIuS1NHXWRZZRrHtpYYVTDdEO1XFzxoZ7qtMoUt3OoVmVA==" saltValue="dEVjF9Ym1lO7J+YxoD4HGw==" spinCount="100000" sheet="1" objects="1" scenarios="1"/>
  <mergeCells count="17">
    <mergeCell ref="C15:D15"/>
    <mergeCell ref="C13:D13"/>
    <mergeCell ref="B19:K19"/>
    <mergeCell ref="S14:Y14"/>
    <mergeCell ref="L2:O2"/>
    <mergeCell ref="E15:I15"/>
    <mergeCell ref="F17:I17"/>
    <mergeCell ref="B8:K8"/>
    <mergeCell ref="B10:K10"/>
    <mergeCell ref="B9:K9"/>
    <mergeCell ref="B14:D14"/>
    <mergeCell ref="B16:D16"/>
    <mergeCell ref="B2:D5"/>
    <mergeCell ref="H3:I3"/>
    <mergeCell ref="B6:K6"/>
    <mergeCell ref="E13:I13"/>
    <mergeCell ref="C17:D17"/>
  </mergeCell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Parametres!$A$2:$A$3</xm:f>
          </x14:formula1>
          <xm:sqref>B6:K6</xm:sqref>
        </x14:dataValidation>
        <x14:dataValidation type="list" allowBlank="1" showInputMessage="1" showErrorMessage="1" xr:uid="{00000000-0002-0000-0000-000001000000}">
          <x14:formula1>
            <xm:f>Parametres!$B$2:$B$3</xm:f>
          </x14:formula1>
          <xm:sqref>E15:I15</xm:sqref>
        </x14:dataValidation>
        <x14:dataValidation type="list" allowBlank="1" showInputMessage="1" showErrorMessage="1" xr:uid="{00000000-0002-0000-0000-000002000000}">
          <x14:formula1>
            <xm:f>Parametres!$C$2:$C$9</xm:f>
          </x14:formula1>
          <xm:sqref>F17:I17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TC"/>
  <dimension ref="A2:G20"/>
  <sheetViews>
    <sheetView zoomScaleNormal="100" workbookViewId="0">
      <selection activeCell="C9" sqref="C9"/>
    </sheetView>
  </sheetViews>
  <sheetFormatPr baseColWidth="10" defaultColWidth="0" defaultRowHeight="14.4" x14ac:dyDescent="0.3"/>
  <cols>
    <col min="1" max="1" width="2.88671875" style="5" customWidth="1"/>
    <col min="2" max="2" width="12" style="5" bestFit="1" customWidth="1"/>
    <col min="3" max="3" width="67.5546875" style="5" customWidth="1"/>
    <col min="4" max="4" width="3.33203125" style="5" bestFit="1" customWidth="1"/>
    <col min="5" max="5" width="47.44140625" style="15" hidden="1" customWidth="1"/>
    <col min="6" max="6" width="47.33203125" style="15" hidden="1" customWidth="1"/>
    <col min="7" max="7" width="2.88671875" style="5" customWidth="1"/>
    <col min="8" max="16384" width="11.44140625" style="5" hidden="1"/>
  </cols>
  <sheetData>
    <row r="2" spans="2:6" x14ac:dyDescent="0.3">
      <c r="B2" s="296"/>
      <c r="C2" s="297"/>
      <c r="D2" s="298"/>
    </row>
    <row r="3" spans="2:6" x14ac:dyDescent="0.3">
      <c r="B3" s="299"/>
      <c r="C3" s="300"/>
      <c r="D3" s="301"/>
    </row>
    <row r="4" spans="2:6" x14ac:dyDescent="0.3">
      <c r="B4" s="299"/>
      <c r="C4" s="300"/>
      <c r="D4" s="301"/>
    </row>
    <row r="5" spans="2:6" x14ac:dyDescent="0.3">
      <c r="B5" s="302"/>
      <c r="C5" s="303"/>
      <c r="D5" s="304"/>
    </row>
    <row r="6" spans="2:6" ht="15.6" x14ac:dyDescent="0.3">
      <c r="B6" s="293" t="str">
        <f>IF(LangueChoisie=LangueFR,Identification!L8,Identification!N8)</f>
        <v>DÉCLARATION DES DÉPÔTS GARANTIS</v>
      </c>
      <c r="C6" s="294"/>
      <c r="D6" s="295"/>
    </row>
    <row r="7" spans="2:6" ht="15.6" x14ac:dyDescent="0.3">
      <c r="B7" s="287" t="str">
        <f>IF(LangueChoisie=LangueFR,E7,F7)</f>
        <v>TABLE DES MATIÈRES</v>
      </c>
      <c r="C7" s="288"/>
      <c r="D7" s="289"/>
      <c r="E7" s="15" t="s">
        <v>24</v>
      </c>
      <c r="F7" s="15" t="s">
        <v>25</v>
      </c>
    </row>
    <row r="8" spans="2:6" ht="22.8" x14ac:dyDescent="0.3">
      <c r="B8" s="16"/>
      <c r="C8" s="17"/>
      <c r="D8" s="18" t="s">
        <v>26</v>
      </c>
    </row>
    <row r="9" spans="2:6" x14ac:dyDescent="0.3">
      <c r="B9" s="19">
        <v>100</v>
      </c>
      <c r="C9" s="20" t="str">
        <f>IF(LangueChoisie=LangueFR,E9,F9)</f>
        <v>Déclaration des dépôts</v>
      </c>
      <c r="D9" s="21">
        <v>3</v>
      </c>
      <c r="E9" s="15" t="s">
        <v>38</v>
      </c>
      <c r="F9" s="15" t="s">
        <v>276</v>
      </c>
    </row>
    <row r="10" spans="2:6" x14ac:dyDescent="0.3">
      <c r="B10" s="19">
        <v>200</v>
      </c>
      <c r="C10" s="20" t="str">
        <f>IF(LangueChoisie=LangueFR,E10,F10)</f>
        <v>Ventilation des dépôts admissibles reçus au Québec</v>
      </c>
      <c r="D10" s="21">
        <v>4</v>
      </c>
      <c r="E10" s="15" t="s">
        <v>843</v>
      </c>
      <c r="F10" s="165" t="s">
        <v>667</v>
      </c>
    </row>
    <row r="11" spans="2:6" x14ac:dyDescent="0.3">
      <c r="B11" s="19">
        <v>300</v>
      </c>
      <c r="C11" s="20" t="str">
        <f>IF(LangueChoisie=LangueFR,E11,F11)</f>
        <v>Calcul de prime</v>
      </c>
      <c r="D11" s="21">
        <v>5</v>
      </c>
      <c r="E11" s="15" t="s">
        <v>39</v>
      </c>
      <c r="F11" s="164" t="s">
        <v>277</v>
      </c>
    </row>
    <row r="12" spans="2:6" x14ac:dyDescent="0.3">
      <c r="B12" s="102"/>
      <c r="C12" s="103"/>
      <c r="D12" s="22"/>
    </row>
    <row r="13" spans="2:6" x14ac:dyDescent="0.3">
      <c r="B13" s="23" t="str">
        <f>IF(LangueChoisie=LangueFR,E13,F13)</f>
        <v>LÉGENDE</v>
      </c>
      <c r="C13" s="24"/>
      <c r="D13" s="25"/>
      <c r="E13" s="15" t="s">
        <v>27</v>
      </c>
      <c r="F13" s="15" t="s">
        <v>28</v>
      </c>
    </row>
    <row r="14" spans="2:6" x14ac:dyDescent="0.3">
      <c r="B14" s="26"/>
      <c r="C14" s="27" t="str">
        <f>IF(LangueChoisie=LangueFR,E14,F14)</f>
        <v>Champ verrouillé</v>
      </c>
      <c r="D14" s="28"/>
      <c r="E14" s="15" t="s">
        <v>49</v>
      </c>
      <c r="F14" s="15" t="s">
        <v>50</v>
      </c>
    </row>
    <row r="15" spans="2:6" x14ac:dyDescent="0.3">
      <c r="B15" s="29"/>
      <c r="C15" s="27" t="str">
        <f>IF(LangueChoisie=LangueFR,E15,F15)</f>
        <v>Champ de saisie</v>
      </c>
      <c r="D15" s="28"/>
      <c r="E15" s="15" t="s">
        <v>29</v>
      </c>
      <c r="F15" s="30" t="s">
        <v>30</v>
      </c>
    </row>
    <row r="16" spans="2:6" x14ac:dyDescent="0.3">
      <c r="B16" s="31"/>
      <c r="C16" s="27" t="str">
        <f>IF(LangueChoisie=LangueFR,E16,F16)</f>
        <v>Champ verrouillé - Formule ou report</v>
      </c>
      <c r="D16" s="28"/>
      <c r="E16" s="15" t="s">
        <v>51</v>
      </c>
      <c r="F16" s="165" t="s">
        <v>278</v>
      </c>
    </row>
    <row r="17" spans="2:6" x14ac:dyDescent="0.3">
      <c r="B17" s="32"/>
      <c r="C17" s="27" t="str">
        <f>IF(LangueChoisie=LangueFR,E17,F17)</f>
        <v>Champ verrouillé - Vide</v>
      </c>
      <c r="D17" s="28"/>
      <c r="E17" s="15" t="s">
        <v>31</v>
      </c>
      <c r="F17" s="30" t="s">
        <v>32</v>
      </c>
    </row>
    <row r="18" spans="2:6" x14ac:dyDescent="0.3">
      <c r="B18" s="33" t="str">
        <f>IF(LangueChoisie=LangueFR,E19,F19)</f>
        <v>Souligné</v>
      </c>
      <c r="C18" s="27" t="str">
        <f>IF(LangueChoisie=LangueFR,E18,F18)</f>
        <v>Lien hypertexte</v>
      </c>
      <c r="D18" s="28"/>
      <c r="E18" s="15" t="s">
        <v>34</v>
      </c>
      <c r="F18" s="30" t="s">
        <v>35</v>
      </c>
    </row>
    <row r="19" spans="2:6" x14ac:dyDescent="0.3">
      <c r="B19" s="102"/>
      <c r="C19" s="34"/>
      <c r="D19" s="22"/>
      <c r="E19" s="15" t="s">
        <v>36</v>
      </c>
      <c r="F19" s="15" t="s">
        <v>37</v>
      </c>
    </row>
    <row r="20" spans="2:6" x14ac:dyDescent="0.3">
      <c r="B20" s="290"/>
      <c r="C20" s="291"/>
      <c r="D20" s="292"/>
    </row>
  </sheetData>
  <sheetProtection algorithmName="SHA-512" hashValue="sZ2pIDRxK++Vg60O7MGS+rHqmuV1Z2X0lRIn1PL/i08cXSlBLRSH6VkE3X1JoDEgF1v/Vvxc6DxYs2oVPx2x8g==" saltValue="IOrMuCfbPTJfFKjx/LlJlw==" spinCount="100000" sheet="1" objects="1" scenarios="1"/>
  <mergeCells count="4">
    <mergeCell ref="B7:D7"/>
    <mergeCell ref="B20:D20"/>
    <mergeCell ref="B6:D6"/>
    <mergeCell ref="B2:D5"/>
  </mergeCells>
  <hyperlinks>
    <hyperlink ref="B9" location="'100'!A1" display="'100'!A1" xr:uid="{00000000-0004-0000-0100-000000000000}"/>
    <hyperlink ref="B10" location="'200'!A1" display="'200'!A1" xr:uid="{00000000-0004-0000-0100-000001000000}"/>
    <hyperlink ref="B11" location="'300'!A1" display="'300'!A1" xr:uid="{00000000-0004-0000-0100-000002000000}"/>
    <hyperlink ref="B18" location="'T des M - T of C'!B18" display="'T des M - T of C'!B18" xr:uid="{00000000-0004-0000-0100-000003000000}"/>
  </hyperlink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100"/>
  <dimension ref="A1:V42"/>
  <sheetViews>
    <sheetView zoomScaleNormal="100" workbookViewId="0">
      <selection activeCell="F8" sqref="F8"/>
    </sheetView>
  </sheetViews>
  <sheetFormatPr baseColWidth="10" defaultColWidth="0" defaultRowHeight="14.4" x14ac:dyDescent="0.3"/>
  <cols>
    <col min="1" max="1" width="2.88671875" style="42" customWidth="1"/>
    <col min="2" max="2" width="2.109375" style="101" customWidth="1"/>
    <col min="3" max="3" width="26.5546875" style="42" customWidth="1"/>
    <col min="4" max="4" width="3.6640625" style="42" customWidth="1"/>
    <col min="5" max="5" width="1.109375" style="42" customWidth="1"/>
    <col min="6" max="6" width="15.44140625" style="42" customWidth="1"/>
    <col min="7" max="7" width="1.5546875" style="42" customWidth="1"/>
    <col min="8" max="8" width="15.44140625" style="42" customWidth="1"/>
    <col min="9" max="9" width="1.5546875" style="42" customWidth="1"/>
    <col min="10" max="10" width="15.44140625" style="42" customWidth="1"/>
    <col min="11" max="11" width="1.44140625" style="68" customWidth="1"/>
    <col min="12" max="12" width="2.88671875" style="42" hidden="1" customWidth="1"/>
    <col min="13" max="14" width="46.109375" style="42" hidden="1" customWidth="1"/>
    <col min="15" max="15" width="2.88671875" style="42" customWidth="1"/>
    <col min="16" max="16384" width="11.44140625" style="42" hidden="1"/>
  </cols>
  <sheetData>
    <row r="1" spans="2:22" ht="15.6" x14ac:dyDescent="0.3">
      <c r="B1" s="313" t="str">
        <f>'T des M - T of C'!B6:D6</f>
        <v>DÉCLARATION DES DÉPÔTS GARANTIS</v>
      </c>
      <c r="C1" s="313"/>
      <c r="D1" s="313"/>
      <c r="E1" s="313"/>
      <c r="F1" s="313"/>
      <c r="G1" s="313"/>
      <c r="H1" s="313"/>
      <c r="I1" s="313"/>
      <c r="J1" s="313"/>
      <c r="K1" s="313"/>
      <c r="L1" s="36"/>
      <c r="M1" s="321" t="s">
        <v>675</v>
      </c>
      <c r="N1" s="321"/>
      <c r="O1" s="37"/>
    </row>
    <row r="2" spans="2:22" ht="15.6" x14ac:dyDescent="0.3">
      <c r="B2" s="314" t="str">
        <f>'T des M - T of C'!$C$9&amp;" "&amp;IF(LangueChoisie=LangueFR,M2&amp;" - "&amp;Identification!$E$17&amp;" "&amp;Identification!$F$17,N2&amp;" - "&amp;Identification!$E$17&amp;", "&amp;Identification!$F$17)</f>
        <v>Déclaration des dépôts (Annexe 100) - 30 avril 2024</v>
      </c>
      <c r="C2" s="314"/>
      <c r="D2" s="314"/>
      <c r="E2" s="314"/>
      <c r="F2" s="314"/>
      <c r="G2" s="314"/>
      <c r="H2" s="314"/>
      <c r="I2" s="314"/>
      <c r="J2" s="314"/>
      <c r="K2" s="314"/>
      <c r="L2" s="38"/>
      <c r="M2" s="38" t="s">
        <v>175</v>
      </c>
      <c r="N2" s="38" t="s">
        <v>279</v>
      </c>
      <c r="O2" s="39"/>
    </row>
    <row r="3" spans="2:22" ht="7.5" customHeight="1" x14ac:dyDescent="0.3">
      <c r="B3" s="40"/>
      <c r="C3" s="15"/>
      <c r="D3" s="15"/>
      <c r="E3" s="15"/>
      <c r="F3" s="15"/>
      <c r="G3" s="15"/>
      <c r="H3" s="15"/>
      <c r="I3" s="15"/>
      <c r="J3" s="15"/>
      <c r="K3" s="41"/>
      <c r="L3" s="15"/>
      <c r="O3" s="15"/>
    </row>
    <row r="4" spans="2:22" ht="7.5" customHeight="1" x14ac:dyDescent="0.3">
      <c r="B4" s="40"/>
      <c r="C4" s="15"/>
      <c r="D4" s="15"/>
      <c r="E4" s="15"/>
      <c r="K4" s="43"/>
      <c r="M4" s="162" t="s">
        <v>900</v>
      </c>
      <c r="N4" s="221" t="s">
        <v>901</v>
      </c>
      <c r="O4" s="15"/>
    </row>
    <row r="5" spans="2:22" ht="41.4" x14ac:dyDescent="0.3">
      <c r="B5" s="320"/>
      <c r="C5" s="319" t="str">
        <f>IF(LangueChoisie=LangueFR,M4,N4)</f>
        <v>Dépôts en dollars canadiens*, plus dépôts en devises étrangères** convertis en dollars canadiens</v>
      </c>
      <c r="D5" s="15"/>
      <c r="E5" s="15"/>
      <c r="F5" s="44" t="str">
        <f>C8</f>
        <v>Dépôts en date du 30 avril 2024</v>
      </c>
      <c r="G5" s="45"/>
      <c r="H5" s="46" t="str">
        <f>IF(LangueChoisie=LangueFR,M6,N6)&amp;" †"</f>
        <v>Dépôts reçus à l'extérieur du Québec †</v>
      </c>
      <c r="I5" s="45"/>
      <c r="J5" s="44" t="str">
        <f>IF(LangueChoisie=LangueFR,M7,N7)</f>
        <v>Dépôts reçus au Québec
(03 = 01 - 02)</v>
      </c>
      <c r="K5" s="47"/>
      <c r="L5" s="48"/>
      <c r="M5" s="109" t="s">
        <v>43</v>
      </c>
      <c r="N5" s="109" t="s">
        <v>52</v>
      </c>
      <c r="O5" s="49"/>
      <c r="P5" s="67"/>
      <c r="Q5" s="67"/>
    </row>
    <row r="6" spans="2:22" x14ac:dyDescent="0.3">
      <c r="B6" s="320"/>
      <c r="C6" s="319"/>
      <c r="D6" s="15"/>
      <c r="E6" s="15"/>
      <c r="F6" s="50" t="s">
        <v>41</v>
      </c>
      <c r="G6" s="15"/>
      <c r="H6" s="51" t="s">
        <v>40</v>
      </c>
      <c r="I6" s="15"/>
      <c r="J6" s="51" t="s">
        <v>42</v>
      </c>
      <c r="K6" s="52"/>
      <c r="L6" s="53"/>
      <c r="M6" s="54" t="s">
        <v>44</v>
      </c>
      <c r="N6" s="54" t="s">
        <v>53</v>
      </c>
      <c r="O6" s="49"/>
      <c r="P6" s="67"/>
      <c r="Q6" s="67"/>
    </row>
    <row r="7" spans="2:22" ht="15" customHeight="1" x14ac:dyDescent="0.3">
      <c r="B7" s="40"/>
      <c r="C7" s="15"/>
      <c r="D7" s="15"/>
      <c r="E7" s="15"/>
      <c r="I7" s="15"/>
      <c r="J7" s="15"/>
      <c r="K7" s="41"/>
      <c r="L7" s="15"/>
      <c r="M7" s="55" t="s">
        <v>54</v>
      </c>
      <c r="N7" s="55" t="s">
        <v>58</v>
      </c>
      <c r="O7" s="49"/>
      <c r="P7" s="67"/>
      <c r="Q7" s="67"/>
    </row>
    <row r="8" spans="2:22" x14ac:dyDescent="0.3">
      <c r="B8" s="40"/>
      <c r="C8" s="15" t="str">
        <f>IF(LangueChoisie=LangueFR,M8&amp;Identification!E17&amp;" "&amp;Identification!F17,N8&amp;Identification!E17&amp;", "&amp;Identification!F17)</f>
        <v>Dépôts en date du 30 avril 2024</v>
      </c>
      <c r="D8" s="56" t="s">
        <v>8</v>
      </c>
      <c r="E8" s="124"/>
      <c r="F8" s="170"/>
      <c r="G8" s="57"/>
      <c r="H8" s="171"/>
      <c r="I8" s="57"/>
      <c r="J8" s="79">
        <f>F8-H8</f>
        <v>0</v>
      </c>
      <c r="K8" s="3"/>
      <c r="L8" s="1"/>
      <c r="M8" s="15" t="s">
        <v>55</v>
      </c>
      <c r="N8" s="2" t="s">
        <v>280</v>
      </c>
      <c r="O8" s="58"/>
      <c r="P8" s="67"/>
      <c r="Q8" s="67"/>
      <c r="U8" s="59"/>
      <c r="V8" s="59"/>
    </row>
    <row r="9" spans="2:22" ht="10.5" customHeight="1" x14ac:dyDescent="0.3">
      <c r="B9" s="40"/>
      <c r="C9" s="15"/>
      <c r="D9" s="15"/>
      <c r="E9" s="15"/>
      <c r="F9" s="57"/>
      <c r="G9" s="57"/>
      <c r="H9" s="57"/>
      <c r="I9" s="57"/>
      <c r="J9" s="1"/>
      <c r="K9" s="3"/>
      <c r="L9" s="1"/>
      <c r="M9" s="2"/>
      <c r="N9" s="2"/>
      <c r="O9" s="49"/>
      <c r="P9" s="67"/>
      <c r="Q9" s="67"/>
      <c r="U9" s="60"/>
      <c r="V9" s="59"/>
    </row>
    <row r="10" spans="2:22" ht="10.5" customHeight="1" x14ac:dyDescent="0.3">
      <c r="B10" s="40"/>
      <c r="C10" s="49"/>
      <c r="D10" s="49"/>
      <c r="E10" s="49"/>
      <c r="F10" s="61"/>
      <c r="G10" s="61"/>
      <c r="H10" s="61"/>
      <c r="I10" s="61"/>
      <c r="J10" s="2"/>
      <c r="K10" s="62"/>
      <c r="L10" s="2"/>
      <c r="M10" s="2"/>
      <c r="N10" s="2"/>
      <c r="O10" s="49"/>
      <c r="P10" s="67"/>
      <c r="Q10" s="67"/>
      <c r="U10" s="63"/>
      <c r="V10" s="63"/>
    </row>
    <row r="11" spans="2:22" x14ac:dyDescent="0.3">
      <c r="B11" s="40" t="s">
        <v>95</v>
      </c>
      <c r="C11" s="49" t="str">
        <f>IF(LangueChoisie=LangueFR,M11,N11)</f>
        <v>Déduire : Dépôts non admissibles</v>
      </c>
      <c r="D11" s="64" t="s">
        <v>9</v>
      </c>
      <c r="E11" s="125"/>
      <c r="F11" s="173"/>
      <c r="G11" s="57"/>
      <c r="H11" s="172"/>
      <c r="I11" s="57"/>
      <c r="J11" s="79">
        <f>F11-H11</f>
        <v>0</v>
      </c>
      <c r="K11" s="3"/>
      <c r="L11" s="1"/>
      <c r="M11" s="49" t="s">
        <v>833</v>
      </c>
      <c r="N11" s="2" t="s">
        <v>834</v>
      </c>
      <c r="O11" s="49"/>
      <c r="P11" s="67"/>
      <c r="Q11" s="67"/>
      <c r="U11" s="315"/>
      <c r="V11" s="315"/>
    </row>
    <row r="12" spans="2:22" ht="10.5" customHeight="1" x14ac:dyDescent="0.3">
      <c r="B12" s="40"/>
      <c r="C12" s="49"/>
      <c r="D12" s="15"/>
      <c r="E12" s="15"/>
      <c r="F12" s="57"/>
      <c r="G12" s="57"/>
      <c r="H12" s="57"/>
      <c r="I12" s="57"/>
      <c r="J12" s="1"/>
      <c r="K12" s="3"/>
      <c r="L12" s="1"/>
      <c r="M12" s="2"/>
      <c r="N12" s="2"/>
      <c r="O12" s="49"/>
      <c r="P12" s="67"/>
      <c r="Q12" s="67"/>
      <c r="U12" s="59"/>
      <c r="V12" s="59"/>
    </row>
    <row r="13" spans="2:22" ht="10.5" customHeight="1" x14ac:dyDescent="0.3">
      <c r="B13" s="40"/>
      <c r="C13" s="49"/>
      <c r="D13" s="15"/>
      <c r="E13" s="15"/>
      <c r="F13" s="57"/>
      <c r="G13" s="57"/>
      <c r="H13" s="1"/>
      <c r="I13" s="57"/>
      <c r="J13" s="1"/>
      <c r="K13" s="3"/>
      <c r="L13" s="1"/>
      <c r="M13" s="2"/>
      <c r="N13" s="2"/>
      <c r="O13" s="49"/>
      <c r="P13" s="67"/>
      <c r="Q13" s="67"/>
      <c r="U13" s="59"/>
      <c r="V13" s="59"/>
    </row>
    <row r="14" spans="2:22" x14ac:dyDescent="0.3">
      <c r="B14" s="40"/>
      <c r="C14" s="49" t="str">
        <f>IF(LangueChoisie=LangueFR,M14,N14)</f>
        <v>Sous-total dépôts admissibles</v>
      </c>
      <c r="D14" s="65" t="s">
        <v>10</v>
      </c>
      <c r="E14" s="126"/>
      <c r="F14" s="79">
        <f>F8-F11</f>
        <v>0</v>
      </c>
      <c r="G14" s="57"/>
      <c r="H14" s="79">
        <f>H8-H11</f>
        <v>0</v>
      </c>
      <c r="I14" s="57"/>
      <c r="J14" s="79">
        <f>J8-J11</f>
        <v>0</v>
      </c>
      <c r="K14" s="3"/>
      <c r="L14" s="1"/>
      <c r="M14" s="15" t="s">
        <v>835</v>
      </c>
      <c r="N14" s="2" t="s">
        <v>281</v>
      </c>
      <c r="O14" s="49"/>
      <c r="P14" s="67"/>
      <c r="Q14" s="67"/>
      <c r="U14" s="59"/>
      <c r="V14" s="59"/>
    </row>
    <row r="15" spans="2:22" ht="10.5" customHeight="1" x14ac:dyDescent="0.3">
      <c r="B15" s="40"/>
      <c r="C15" s="15"/>
      <c r="D15" s="66"/>
      <c r="E15" s="66"/>
      <c r="F15" s="1"/>
      <c r="G15" s="1"/>
      <c r="H15" s="1"/>
      <c r="I15" s="1"/>
      <c r="J15" s="1"/>
      <c r="K15" s="3"/>
      <c r="L15" s="1"/>
      <c r="M15" s="2"/>
      <c r="N15" s="2"/>
      <c r="O15" s="49"/>
      <c r="P15" s="67"/>
      <c r="Q15" s="67"/>
      <c r="U15" s="59"/>
      <c r="V15" s="59"/>
    </row>
    <row r="16" spans="2:22" ht="10.5" customHeight="1" x14ac:dyDescent="0.3">
      <c r="B16" s="40"/>
      <c r="C16" s="15"/>
      <c r="D16" s="15"/>
      <c r="E16" s="15"/>
      <c r="F16" s="57"/>
      <c r="G16" s="57"/>
      <c r="H16" s="57"/>
      <c r="I16" s="57"/>
      <c r="J16" s="1"/>
      <c r="K16" s="3"/>
      <c r="L16" s="1"/>
      <c r="M16" s="2"/>
      <c r="N16" s="2"/>
      <c r="O16" s="49"/>
      <c r="P16" s="67"/>
      <c r="Q16" s="67"/>
      <c r="U16" s="315"/>
      <c r="V16" s="315"/>
    </row>
    <row r="17" spans="2:22" x14ac:dyDescent="0.3">
      <c r="B17" s="251" t="s">
        <v>467</v>
      </c>
      <c r="C17" s="310" t="str">
        <f>IF(LangueChoisie=LangueFR,M17,N17)</f>
        <v>Déduire : Montant excédant
100 000 $ par déposant</v>
      </c>
      <c r="D17" s="65" t="s">
        <v>46</v>
      </c>
      <c r="E17" s="126"/>
      <c r="F17" s="174"/>
      <c r="G17" s="57"/>
      <c r="H17" s="175"/>
      <c r="I17" s="57"/>
      <c r="J17" s="79">
        <f>F17-H17</f>
        <v>0</v>
      </c>
      <c r="K17" s="3"/>
      <c r="L17" s="1"/>
      <c r="M17" s="310" t="s">
        <v>836</v>
      </c>
      <c r="N17" s="316" t="s">
        <v>837</v>
      </c>
      <c r="O17" s="67"/>
      <c r="P17" s="67"/>
      <c r="Q17" s="67"/>
      <c r="U17" s="59"/>
      <c r="V17" s="59"/>
    </row>
    <row r="18" spans="2:22" ht="10.5" customHeight="1" x14ac:dyDescent="0.3">
      <c r="B18" s="40"/>
      <c r="C18" s="310"/>
      <c r="D18" s="15"/>
      <c r="E18" s="15"/>
      <c r="J18" s="68"/>
      <c r="K18" s="43"/>
      <c r="L18" s="68"/>
      <c r="M18" s="310"/>
      <c r="N18" s="316"/>
      <c r="O18" s="49"/>
      <c r="P18" s="67"/>
      <c r="Q18" s="67"/>
      <c r="U18" s="59"/>
      <c r="V18" s="59"/>
    </row>
    <row r="19" spans="2:22" ht="10.5" customHeight="1" x14ac:dyDescent="0.3">
      <c r="B19" s="40"/>
      <c r="C19" s="15"/>
      <c r="D19" s="15"/>
      <c r="E19" s="15"/>
      <c r="F19" s="57"/>
      <c r="G19" s="57"/>
      <c r="H19" s="57"/>
      <c r="I19" s="57"/>
      <c r="J19" s="1"/>
      <c r="K19" s="3"/>
      <c r="L19" s="1"/>
      <c r="M19" s="2"/>
      <c r="N19" s="2"/>
      <c r="O19" s="49"/>
      <c r="P19" s="67"/>
      <c r="Q19" s="67"/>
      <c r="U19" s="59"/>
      <c r="V19" s="59"/>
    </row>
    <row r="20" spans="2:22" x14ac:dyDescent="0.3">
      <c r="B20" s="40"/>
      <c r="C20" s="15" t="str">
        <f>IF(LangueChoisie=LangueFR,M20,N20)</f>
        <v>Total des dépôts garantis</v>
      </c>
      <c r="D20" s="65" t="s">
        <v>47</v>
      </c>
      <c r="E20" s="126"/>
      <c r="F20" s="79">
        <f>F14-F17</f>
        <v>0</v>
      </c>
      <c r="G20" s="57"/>
      <c r="H20" s="79">
        <f>H14-H17</f>
        <v>0</v>
      </c>
      <c r="I20" s="57"/>
      <c r="J20" s="79">
        <f>J14-J17</f>
        <v>0</v>
      </c>
      <c r="K20" s="3"/>
      <c r="L20" s="1"/>
      <c r="M20" s="15" t="s">
        <v>45</v>
      </c>
      <c r="N20" s="2" t="s">
        <v>56</v>
      </c>
      <c r="O20" s="49"/>
      <c r="P20" s="67"/>
      <c r="Q20" s="67"/>
      <c r="U20" s="59"/>
      <c r="V20" s="63"/>
    </row>
    <row r="21" spans="2:22" ht="10.5" customHeight="1" x14ac:dyDescent="0.3">
      <c r="B21" s="40"/>
      <c r="C21" s="15"/>
      <c r="D21" s="66"/>
      <c r="E21" s="66"/>
      <c r="F21" s="1"/>
      <c r="G21" s="1"/>
      <c r="H21" s="1"/>
      <c r="I21" s="1"/>
      <c r="J21" s="1"/>
      <c r="K21" s="3"/>
      <c r="L21" s="1"/>
      <c r="M21" s="2"/>
      <c r="N21" s="2"/>
      <c r="O21" s="49"/>
      <c r="P21" s="67"/>
      <c r="Q21" s="67"/>
      <c r="U21" s="63"/>
      <c r="V21" s="63"/>
    </row>
    <row r="22" spans="2:22" ht="10.5" customHeight="1" x14ac:dyDescent="0.3">
      <c r="B22" s="40"/>
      <c r="C22" s="15"/>
      <c r="D22" s="15"/>
      <c r="E22" s="15"/>
      <c r="F22" s="57"/>
      <c r="G22" s="57"/>
      <c r="H22" s="57"/>
      <c r="I22" s="57"/>
      <c r="J22" s="1"/>
      <c r="K22" s="3"/>
      <c r="L22" s="1"/>
      <c r="M22" s="2"/>
      <c r="N22" s="2"/>
      <c r="O22" s="49"/>
      <c r="P22" s="67"/>
      <c r="Q22" s="67"/>
      <c r="U22" s="315"/>
      <c r="V22" s="315"/>
    </row>
    <row r="23" spans="2:22" ht="15" customHeight="1" x14ac:dyDescent="0.3">
      <c r="B23" s="40" t="s">
        <v>178</v>
      </c>
      <c r="C23" s="311" t="str">
        <f>IF(LangueChoisie=LangueFR,M23,N23)</f>
        <v>Prime payable de 0,075% des dépôts garantis reçus au Québec (minimum 5000,00 $)</v>
      </c>
      <c r="D23" s="65" t="s">
        <v>48</v>
      </c>
      <c r="E23" s="66"/>
      <c r="F23" s="57"/>
      <c r="G23" s="57"/>
      <c r="H23" s="57"/>
      <c r="I23" s="57"/>
      <c r="J23" s="80">
        <f>IF(_Ident020=CharteQC,IF(TauxPrime*_10005003&lt;SeuilMinimal,SeuilMinimal,TauxPrime*_10005003),0)</f>
        <v>5000</v>
      </c>
      <c r="K23" s="3"/>
      <c r="L23" s="1"/>
      <c r="M23" s="310" t="s">
        <v>916</v>
      </c>
      <c r="N23" s="316" t="s">
        <v>917</v>
      </c>
      <c r="O23" s="49"/>
      <c r="P23" s="67"/>
      <c r="Q23" s="67"/>
      <c r="U23" s="315"/>
      <c r="V23" s="315"/>
    </row>
    <row r="24" spans="2:22" x14ac:dyDescent="0.3">
      <c r="B24" s="40"/>
      <c r="C24" s="311"/>
      <c r="D24" s="15"/>
      <c r="E24" s="15"/>
      <c r="F24" s="57"/>
      <c r="G24" s="57"/>
      <c r="H24" s="57"/>
      <c r="I24" s="57"/>
      <c r="J24" s="57"/>
      <c r="K24" s="3"/>
      <c r="L24" s="57"/>
      <c r="M24" s="310"/>
      <c r="N24" s="317"/>
      <c r="O24" s="15"/>
      <c r="U24" s="315"/>
      <c r="V24" s="315"/>
    </row>
    <row r="25" spans="2:22" x14ac:dyDescent="0.3">
      <c r="B25" s="40"/>
      <c r="C25" s="311"/>
      <c r="D25" s="15"/>
      <c r="E25" s="15"/>
      <c r="F25" s="57"/>
      <c r="G25" s="57"/>
      <c r="H25" s="57"/>
      <c r="I25" s="57"/>
      <c r="J25" s="138"/>
      <c r="K25" s="43"/>
      <c r="M25" s="310"/>
      <c r="N25" s="317"/>
      <c r="O25" s="15"/>
    </row>
    <row r="26" spans="2:22" ht="10.5" customHeight="1" x14ac:dyDescent="0.3">
      <c r="B26" s="40"/>
      <c r="C26" s="259"/>
      <c r="D26" s="15"/>
      <c r="E26" s="15"/>
      <c r="F26" s="57"/>
      <c r="G26" s="57"/>
      <c r="H26" s="57"/>
      <c r="I26" s="57"/>
      <c r="K26" s="43"/>
      <c r="M26" s="109"/>
      <c r="N26" s="108"/>
      <c r="O26" s="15"/>
    </row>
    <row r="27" spans="2:22" ht="10.5" customHeight="1" x14ac:dyDescent="0.3">
      <c r="B27" s="40"/>
      <c r="C27" s="109"/>
      <c r="D27" s="15"/>
      <c r="E27" s="15"/>
      <c r="F27" s="57"/>
      <c r="G27" s="57"/>
      <c r="H27" s="57"/>
      <c r="I27" s="57"/>
      <c r="K27" s="43"/>
      <c r="M27" s="109"/>
      <c r="N27" s="108"/>
      <c r="O27" s="15"/>
    </row>
    <row r="28" spans="2:22" x14ac:dyDescent="0.3">
      <c r="B28" s="40"/>
      <c r="C28" s="111" t="str">
        <f>IF(LangueChoisie=LangueFR,M28,N28)</f>
        <v>Remarques</v>
      </c>
      <c r="D28" s="15"/>
      <c r="E28" s="15"/>
      <c r="F28" s="57"/>
      <c r="G28" s="57"/>
      <c r="H28" s="57"/>
      <c r="I28" s="57"/>
      <c r="K28" s="43"/>
      <c r="M28" s="109" t="s">
        <v>59</v>
      </c>
      <c r="N28" s="108" t="s">
        <v>282</v>
      </c>
      <c r="O28" s="15"/>
    </row>
    <row r="29" spans="2:22" ht="7.5" customHeight="1" x14ac:dyDescent="0.3">
      <c r="B29" s="40"/>
      <c r="C29" s="15"/>
      <c r="D29" s="15"/>
      <c r="E29" s="15"/>
      <c r="F29" s="15"/>
      <c r="G29" s="15"/>
      <c r="H29" s="15"/>
      <c r="I29" s="15"/>
      <c r="J29" s="15"/>
      <c r="K29" s="41"/>
      <c r="L29" s="15"/>
      <c r="M29" s="15"/>
      <c r="N29" s="15"/>
      <c r="O29" s="15"/>
    </row>
    <row r="30" spans="2:22" ht="12.75" customHeight="1" x14ac:dyDescent="0.3">
      <c r="B30" s="69" t="s">
        <v>33</v>
      </c>
      <c r="C30" s="306" t="str">
        <f>IF(LangueChoisie=LangueFR,M30,N30)</f>
        <v>Les montants indiqués doivent être arrondis au dollar près - ne pas utiliser les milliers.</v>
      </c>
      <c r="D30" s="306"/>
      <c r="E30" s="306"/>
      <c r="F30" s="306"/>
      <c r="G30" s="306"/>
      <c r="H30" s="306"/>
      <c r="I30" s="306"/>
      <c r="J30" s="306"/>
      <c r="K30" s="41"/>
      <c r="L30" s="15"/>
      <c r="M30" s="250" t="s">
        <v>902</v>
      </c>
      <c r="N30" s="250" t="s">
        <v>903</v>
      </c>
      <c r="O30" s="15"/>
    </row>
    <row r="31" spans="2:22" ht="7.5" customHeight="1" x14ac:dyDescent="0.3">
      <c r="B31" s="40"/>
      <c r="C31" s="78"/>
      <c r="D31" s="78"/>
      <c r="E31" s="78"/>
      <c r="F31" s="78"/>
      <c r="G31" s="78"/>
      <c r="H31" s="78"/>
      <c r="I31" s="78"/>
      <c r="J31" s="78"/>
      <c r="K31" s="41"/>
      <c r="L31" s="15"/>
      <c r="O31" s="15"/>
    </row>
    <row r="32" spans="2:22" ht="36" customHeight="1" x14ac:dyDescent="0.3">
      <c r="B32" s="69" t="s">
        <v>905</v>
      </c>
      <c r="C32" s="306" t="str">
        <f>IF(LangueChoisie=LangueFR,M32,N32)</f>
        <v>Les dépôts en devises étrangères doivent être convertis en dollars canadiens selon la méthode prévue à l’article 11.1 du Règlement d’application de la Loi sur les institutions de dépôts et la protection des dépôts (« RALIDPD »), RLRQ, c. I-13.2.2, r.1</v>
      </c>
      <c r="D32" s="306"/>
      <c r="E32" s="306"/>
      <c r="F32" s="306"/>
      <c r="G32" s="306"/>
      <c r="H32" s="306"/>
      <c r="I32" s="306"/>
      <c r="J32" s="306"/>
      <c r="K32" s="41"/>
      <c r="L32" s="164"/>
      <c r="M32" s="250" t="s">
        <v>904</v>
      </c>
      <c r="N32" s="258" t="s">
        <v>912</v>
      </c>
      <c r="O32" s="164"/>
    </row>
    <row r="33" spans="2:15" ht="7.5" customHeight="1" x14ac:dyDescent="0.3">
      <c r="B33" s="40"/>
      <c r="C33" s="78"/>
      <c r="D33" s="78"/>
      <c r="E33" s="78"/>
      <c r="F33" s="78"/>
      <c r="G33" s="78"/>
      <c r="H33" s="78"/>
      <c r="I33" s="78"/>
      <c r="J33" s="78"/>
      <c r="K33" s="41"/>
      <c r="L33" s="164"/>
      <c r="O33" s="164"/>
    </row>
    <row r="34" spans="2:15" ht="36.75" customHeight="1" x14ac:dyDescent="0.3">
      <c r="B34" s="252" t="s">
        <v>467</v>
      </c>
      <c r="C34" s="305" t="str">
        <f>IF(LangueChoisie=LangueFR,M34,N34)</f>
        <v>Total des montants excédant la limite de protection de 100 000 $ par déposant, par catégorie de dépôts. Un déposant est une personne physique ou une personne morale. Pour les dépôts en copropriété, chaque groupe composé des mêmes personnes (physique ou morale) est un déposant.</v>
      </c>
      <c r="D34" s="305"/>
      <c r="E34" s="305"/>
      <c r="F34" s="305"/>
      <c r="G34" s="305"/>
      <c r="H34" s="305"/>
      <c r="I34" s="305"/>
      <c r="J34" s="305"/>
      <c r="K34" s="70"/>
      <c r="L34" s="164"/>
      <c r="M34" s="163" t="s">
        <v>838</v>
      </c>
      <c r="N34" s="163" t="s">
        <v>839</v>
      </c>
      <c r="O34" s="164"/>
    </row>
    <row r="35" spans="2:15" ht="7.5" customHeight="1" x14ac:dyDescent="0.3">
      <c r="B35" s="40"/>
      <c r="C35" s="76"/>
      <c r="D35" s="253"/>
      <c r="E35" s="253"/>
      <c r="F35" s="253"/>
      <c r="G35" s="253"/>
      <c r="H35" s="253"/>
      <c r="I35" s="253"/>
      <c r="J35" s="253"/>
      <c r="K35" s="74"/>
      <c r="L35" s="49"/>
      <c r="M35" s="49"/>
      <c r="N35" s="49"/>
      <c r="O35" s="49"/>
    </row>
    <row r="36" spans="2:15" ht="12.75" customHeight="1" x14ac:dyDescent="0.3">
      <c r="B36" s="69" t="s">
        <v>57</v>
      </c>
      <c r="C36" s="305" t="str">
        <f>IF(LangueChoisie=LangueFR,M36,N36)</f>
        <v>Selon le lieu du dépôt, tel que défini à l'article 4 du RALIDPD.</v>
      </c>
      <c r="D36" s="305"/>
      <c r="E36" s="305"/>
      <c r="F36" s="305"/>
      <c r="G36" s="305"/>
      <c r="H36" s="305"/>
      <c r="I36" s="305"/>
      <c r="J36" s="305"/>
      <c r="K36" s="70"/>
      <c r="L36" s="15"/>
      <c r="M36" s="163" t="s">
        <v>906</v>
      </c>
      <c r="N36" s="163" t="s">
        <v>907</v>
      </c>
      <c r="O36" s="15"/>
    </row>
    <row r="37" spans="2:15" ht="7.5" customHeight="1" x14ac:dyDescent="0.3">
      <c r="B37" s="40"/>
      <c r="C37" s="76"/>
      <c r="D37" s="253"/>
      <c r="E37" s="253"/>
      <c r="F37" s="253"/>
      <c r="G37" s="253"/>
      <c r="H37" s="253"/>
      <c r="I37" s="253"/>
      <c r="J37" s="253"/>
      <c r="K37" s="74"/>
      <c r="L37" s="49"/>
      <c r="M37" s="49"/>
      <c r="N37" s="49"/>
      <c r="O37" s="49"/>
    </row>
    <row r="38" spans="2:15" ht="12.75" customHeight="1" x14ac:dyDescent="0.3">
      <c r="B38" s="75" t="s">
        <v>95</v>
      </c>
      <c r="C38" s="305" t="str">
        <f>IF(LangueChoisie=LangueFR,M38,N38)</f>
        <v>Exclure les dépôts non admissibles en vertu de la Loi sur les institutions de dépôts
et la protection des dépôts et du RALIDPD.</v>
      </c>
      <c r="D38" s="305"/>
      <c r="E38" s="305"/>
      <c r="F38" s="305"/>
      <c r="G38" s="305"/>
      <c r="H38" s="305"/>
      <c r="I38" s="305"/>
      <c r="J38" s="305"/>
      <c r="K38" s="70"/>
      <c r="L38" s="49"/>
      <c r="M38" s="318" t="s">
        <v>915</v>
      </c>
      <c r="N38" s="312" t="s">
        <v>914</v>
      </c>
      <c r="O38" s="49"/>
    </row>
    <row r="39" spans="2:15" ht="12.75" customHeight="1" x14ac:dyDescent="0.3">
      <c r="B39" s="40"/>
      <c r="C39" s="305"/>
      <c r="D39" s="305"/>
      <c r="E39" s="305"/>
      <c r="F39" s="305"/>
      <c r="G39" s="305"/>
      <c r="H39" s="305"/>
      <c r="I39" s="305"/>
      <c r="J39" s="305"/>
      <c r="K39" s="70"/>
      <c r="L39" s="5"/>
      <c r="M39" s="318"/>
      <c r="N39" s="312"/>
      <c r="O39" s="5"/>
    </row>
    <row r="40" spans="2:15" ht="7.5" customHeight="1" x14ac:dyDescent="0.3">
      <c r="B40" s="40"/>
      <c r="C40" s="76"/>
      <c r="D40" s="76"/>
      <c r="E40" s="76"/>
      <c r="F40" s="76"/>
      <c r="G40" s="76"/>
      <c r="H40" s="76"/>
      <c r="I40" s="76"/>
      <c r="J40" s="76"/>
      <c r="K40" s="77"/>
      <c r="L40" s="78"/>
      <c r="M40" s="78"/>
      <c r="N40" s="78"/>
      <c r="O40" s="78"/>
    </row>
    <row r="41" spans="2:15" ht="25.5" customHeight="1" x14ac:dyDescent="0.3">
      <c r="B41" s="75" t="s">
        <v>178</v>
      </c>
      <c r="C41" s="305" t="str">
        <f>IF(LangueChoisie=LangueFR,M41,N41)</f>
        <v>Ce montant n'inclut pas la taxe sur les primes d'assurances. 
Se référer à la section 300 pour connaître le montant exact à payer.</v>
      </c>
      <c r="D41" s="305"/>
      <c r="E41" s="305"/>
      <c r="F41" s="305"/>
      <c r="G41" s="305"/>
      <c r="H41" s="305"/>
      <c r="I41" s="305"/>
      <c r="J41" s="305"/>
      <c r="K41" s="77"/>
      <c r="L41" s="78"/>
      <c r="M41" s="119" t="s">
        <v>96</v>
      </c>
      <c r="N41" s="119" t="s">
        <v>283</v>
      </c>
      <c r="O41" s="78"/>
    </row>
    <row r="42" spans="2:15" x14ac:dyDescent="0.3">
      <c r="B42" s="307"/>
      <c r="C42" s="308"/>
      <c r="D42" s="308"/>
      <c r="E42" s="308"/>
      <c r="F42" s="308"/>
      <c r="G42" s="308"/>
      <c r="H42" s="308"/>
      <c r="I42" s="308"/>
      <c r="J42" s="308"/>
      <c r="K42" s="309"/>
    </row>
  </sheetData>
  <sheetProtection algorithmName="SHA-512" hashValue="ep3u4MoG4PAZM2RymxezEs5mDzHikBsE36nOzxYbpn2eSoYmI7EdaEQ70FN14os8w5z1nGvlXLcCPPiDsAWafA==" saltValue="3UZYxFqu2TXwnQonIzz0/w==" spinCount="100000" sheet="1" objects="1" scenarios="1"/>
  <mergeCells count="25">
    <mergeCell ref="N38:N39"/>
    <mergeCell ref="B1:K1"/>
    <mergeCell ref="B2:K2"/>
    <mergeCell ref="U22:V22"/>
    <mergeCell ref="U23:V23"/>
    <mergeCell ref="U24:V24"/>
    <mergeCell ref="U11:V11"/>
    <mergeCell ref="U16:V16"/>
    <mergeCell ref="N17:N18"/>
    <mergeCell ref="N23:N25"/>
    <mergeCell ref="M17:M18"/>
    <mergeCell ref="M23:M25"/>
    <mergeCell ref="M38:M39"/>
    <mergeCell ref="C5:C6"/>
    <mergeCell ref="B5:B6"/>
    <mergeCell ref="M1:N1"/>
    <mergeCell ref="C41:J41"/>
    <mergeCell ref="C30:J30"/>
    <mergeCell ref="B42:K42"/>
    <mergeCell ref="C17:C18"/>
    <mergeCell ref="C38:J39"/>
    <mergeCell ref="C36:J36"/>
    <mergeCell ref="C34:J34"/>
    <mergeCell ref="C32:J32"/>
    <mergeCell ref="C23:C25"/>
  </mergeCells>
  <dataValidations count="1">
    <dataValidation type="whole" allowBlank="1" showInputMessage="1" showErrorMessage="1" sqref="F8 H8 H11 F11 F17 H17" xr:uid="{00000000-0002-0000-0200-000000000000}">
      <formula1>0</formula1>
      <formula2>10000000000000</formula2>
    </dataValidation>
  </dataValidation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200"/>
  <dimension ref="A1:X55"/>
  <sheetViews>
    <sheetView zoomScaleNormal="100" workbookViewId="0">
      <selection activeCell="F9" sqref="F9"/>
    </sheetView>
  </sheetViews>
  <sheetFormatPr baseColWidth="10" defaultColWidth="0" defaultRowHeight="14.4" x14ac:dyDescent="0.3"/>
  <cols>
    <col min="1" max="1" width="1" style="42" customWidth="1"/>
    <col min="2" max="2" width="1.33203125" style="204" customWidth="1"/>
    <col min="3" max="3" width="16.88671875" style="42" customWidth="1"/>
    <col min="4" max="4" width="3.6640625" style="116" customWidth="1"/>
    <col min="5" max="5" width="0.88671875" style="42" customWidth="1"/>
    <col min="6" max="8" width="14.44140625" style="42" customWidth="1"/>
    <col min="9" max="9" width="15" style="42" customWidth="1"/>
    <col min="10" max="10" width="0.88671875" style="42" customWidth="1"/>
    <col min="11" max="12" width="9.88671875" style="42" customWidth="1"/>
    <col min="13" max="13" width="1" style="68" customWidth="1"/>
    <col min="14" max="14" width="2.109375" style="42" hidden="1" customWidth="1"/>
    <col min="15" max="16" width="35.109375" style="42" hidden="1" customWidth="1"/>
    <col min="17" max="17" width="2.88671875" style="42" customWidth="1"/>
    <col min="18" max="16384" width="11.44140625" style="42" hidden="1"/>
  </cols>
  <sheetData>
    <row r="1" spans="1:24" ht="15.6" x14ac:dyDescent="0.3">
      <c r="B1" s="313" t="str">
        <f>'T des M - T of C'!B6:D6</f>
        <v>DÉCLARATION DES DÉPÔTS GARANTIS</v>
      </c>
      <c r="C1" s="313"/>
      <c r="D1" s="313"/>
      <c r="E1" s="313"/>
      <c r="F1" s="313"/>
      <c r="G1" s="313"/>
      <c r="H1" s="313"/>
      <c r="I1" s="313"/>
      <c r="J1" s="313"/>
      <c r="K1" s="313"/>
      <c r="L1" s="313"/>
      <c r="M1" s="313"/>
      <c r="N1" s="36"/>
      <c r="O1" s="321" t="s">
        <v>676</v>
      </c>
      <c r="P1" s="321"/>
      <c r="Q1" s="37"/>
    </row>
    <row r="2" spans="1:24" ht="15.6" x14ac:dyDescent="0.3">
      <c r="B2" s="323" t="str">
        <f>'T des M - T of C'!C10&amp;" "&amp;IF(LangueChoisie=LangueFR,O2&amp;" - "&amp;Identification!$E$17&amp;" "&amp;Identification!$F$17,P2&amp;" - "&amp;Identification!$E$17&amp;", "&amp;Identification!$F$17)</f>
        <v>Ventilation des dépôts admissibles reçus au Québec (Annexe 200) - 30 avril 2024</v>
      </c>
      <c r="C2" s="323"/>
      <c r="D2" s="323"/>
      <c r="E2" s="323"/>
      <c r="F2" s="323"/>
      <c r="G2" s="323"/>
      <c r="H2" s="323"/>
      <c r="I2" s="323"/>
      <c r="J2" s="323"/>
      <c r="K2" s="323"/>
      <c r="L2" s="323"/>
      <c r="M2" s="323"/>
      <c r="N2" s="38"/>
      <c r="O2" s="38" t="s">
        <v>176</v>
      </c>
      <c r="P2" s="38" t="s">
        <v>284</v>
      </c>
      <c r="Q2" s="39"/>
    </row>
    <row r="3" spans="1:24" ht="7.5" customHeight="1" x14ac:dyDescent="0.3">
      <c r="B3" s="203"/>
      <c r="C3" s="15"/>
      <c r="D3" s="81"/>
      <c r="E3" s="15"/>
      <c r="F3" s="15"/>
      <c r="G3" s="15"/>
      <c r="H3" s="15"/>
      <c r="I3" s="164"/>
      <c r="J3" s="15"/>
      <c r="K3" s="15"/>
      <c r="L3" s="15"/>
      <c r="M3" s="41"/>
      <c r="N3" s="15"/>
      <c r="O3" s="164" t="s">
        <v>669</v>
      </c>
      <c r="P3" s="165" t="s">
        <v>672</v>
      </c>
      <c r="Q3" s="15"/>
    </row>
    <row r="4" spans="1:24" ht="7.5" customHeight="1" x14ac:dyDescent="0.3">
      <c r="B4" s="203"/>
      <c r="C4" s="15"/>
      <c r="D4" s="81"/>
      <c r="E4" s="15"/>
      <c r="F4" s="187"/>
      <c r="G4" s="187"/>
      <c r="H4" s="187"/>
      <c r="I4" s="187"/>
      <c r="M4" s="43"/>
      <c r="O4" s="164" t="s">
        <v>670</v>
      </c>
      <c r="P4" s="165" t="s">
        <v>673</v>
      </c>
      <c r="Q4" s="15"/>
    </row>
    <row r="5" spans="1:24" ht="15" customHeight="1" x14ac:dyDescent="0.3">
      <c r="B5" s="203"/>
      <c r="C5" s="331" t="str">
        <f>IF(LangueChoisie=LangueFR,O5&amp;Identification!$E$17&amp;" "&amp;Identification!$F$17,P5&amp;Identification!$E$17&amp;", "&amp;Identification!$F$17)</f>
        <v>Dépôts admissibles reçus au Québec en date du 30 avril 2024</v>
      </c>
      <c r="D5" s="101"/>
      <c r="E5" s="197"/>
      <c r="F5" s="326" t="str">
        <f>IF(LangueChoisie=LangueFR,O6,P6)</f>
        <v>En dollars canadiens, arrondis au dollar près - ne pas utiliser les milliers</v>
      </c>
      <c r="G5" s="327"/>
      <c r="H5" s="327"/>
      <c r="I5" s="328"/>
      <c r="J5" s="45"/>
      <c r="K5" s="329" t="str">
        <f>IF(LangueChoisie=LangueFR,O7,P7)</f>
        <v>Nombre de déposants §</v>
      </c>
      <c r="L5" s="330"/>
      <c r="M5" s="47"/>
      <c r="N5" s="48"/>
      <c r="O5" s="164" t="s">
        <v>840</v>
      </c>
      <c r="P5" s="164" t="s">
        <v>666</v>
      </c>
      <c r="Q5" s="49"/>
      <c r="R5" s="67"/>
      <c r="S5" s="67"/>
    </row>
    <row r="6" spans="1:24" ht="27" customHeight="1" x14ac:dyDescent="0.3">
      <c r="A6" s="201"/>
      <c r="B6" s="202" t="s">
        <v>33</v>
      </c>
      <c r="C6" s="331"/>
      <c r="D6" s="101"/>
      <c r="E6" s="197"/>
      <c r="F6" s="222" t="str">
        <f>IF(LangueChoisie=LangueFR,O3,P3)</f>
        <v>≤ 100 000 $
(toutes devises)</v>
      </c>
      <c r="G6" s="222" t="str">
        <f>IF(LangueChoisie=LangueFR,O4,P4)</f>
        <v>&gt; 100 000 $ ‡
(toutes devises)</v>
      </c>
      <c r="H6" s="198" t="s">
        <v>62</v>
      </c>
      <c r="I6" s="198" t="str">
        <f>IF(LangueChoisie=LangueFR,O8,P8)</f>
        <v>Dépôts en devises étrangères ¥</v>
      </c>
      <c r="J6" s="45"/>
      <c r="K6" s="44" t="s">
        <v>2</v>
      </c>
      <c r="L6" s="193" t="s">
        <v>3</v>
      </c>
      <c r="M6" s="47"/>
      <c r="N6" s="48"/>
      <c r="O6" s="2" t="s">
        <v>668</v>
      </c>
      <c r="P6" s="2" t="s">
        <v>671</v>
      </c>
      <c r="Q6" s="49"/>
      <c r="R6" s="67"/>
      <c r="S6" s="67"/>
    </row>
    <row r="7" spans="1:24" x14ac:dyDescent="0.3">
      <c r="B7" s="203"/>
      <c r="C7" s="331"/>
      <c r="D7" s="101"/>
      <c r="E7" s="197"/>
      <c r="F7" s="199" t="s">
        <v>41</v>
      </c>
      <c r="G7" s="200" t="s">
        <v>40</v>
      </c>
      <c r="H7" s="200" t="s">
        <v>42</v>
      </c>
      <c r="I7" s="200" t="s">
        <v>609</v>
      </c>
      <c r="J7" s="15"/>
      <c r="K7" s="51" t="s">
        <v>60</v>
      </c>
      <c r="L7" s="188" t="s">
        <v>61</v>
      </c>
      <c r="M7" s="52"/>
      <c r="N7" s="53"/>
      <c r="O7" s="164" t="s">
        <v>610</v>
      </c>
      <c r="P7" s="164" t="s">
        <v>611</v>
      </c>
      <c r="Q7" s="49"/>
      <c r="R7" s="67"/>
      <c r="S7" s="67"/>
    </row>
    <row r="8" spans="1:24" ht="7.5" customHeight="1" x14ac:dyDescent="0.3">
      <c r="B8" s="203"/>
      <c r="C8" s="15"/>
      <c r="D8" s="81"/>
      <c r="E8" s="15"/>
      <c r="J8" s="15"/>
      <c r="K8" s="15"/>
      <c r="L8" s="15"/>
      <c r="M8" s="41"/>
      <c r="N8" s="15"/>
      <c r="O8" s="164" t="s">
        <v>612</v>
      </c>
      <c r="P8" s="165" t="s">
        <v>613</v>
      </c>
      <c r="Q8" s="49"/>
      <c r="R8" s="67"/>
      <c r="S8" s="67"/>
    </row>
    <row r="9" spans="1:24" x14ac:dyDescent="0.3">
      <c r="B9" s="40"/>
      <c r="C9" s="15" t="str">
        <f>IF(LangueChoisie=LangueFR,O9,P9)</f>
        <v>1-Protection de base</v>
      </c>
      <c r="D9" s="82" t="s">
        <v>8</v>
      </c>
      <c r="E9" s="124"/>
      <c r="F9" s="176"/>
      <c r="G9" s="176"/>
      <c r="H9" s="79">
        <f>F9+G9</f>
        <v>0</v>
      </c>
      <c r="I9" s="175"/>
      <c r="J9" s="57"/>
      <c r="K9" s="178"/>
      <c r="L9" s="189"/>
      <c r="M9" s="3"/>
      <c r="N9" s="1"/>
      <c r="O9" s="15" t="s">
        <v>841</v>
      </c>
      <c r="P9" s="164" t="s">
        <v>85</v>
      </c>
      <c r="Q9" s="58"/>
      <c r="R9" s="67"/>
      <c r="S9" s="67"/>
      <c r="W9" s="59"/>
      <c r="X9" s="59"/>
    </row>
    <row r="10" spans="1:24" ht="6" customHeight="1" x14ac:dyDescent="0.3">
      <c r="B10" s="203"/>
      <c r="C10" s="15"/>
      <c r="D10" s="81"/>
      <c r="E10" s="15"/>
      <c r="F10" s="57"/>
      <c r="G10" s="57"/>
      <c r="H10" s="57"/>
      <c r="I10" s="57"/>
      <c r="J10" s="57"/>
      <c r="K10" s="83"/>
      <c r="L10" s="83"/>
      <c r="M10" s="3"/>
      <c r="N10" s="1"/>
      <c r="O10" s="2"/>
      <c r="P10" s="2"/>
      <c r="Q10" s="49"/>
      <c r="R10" s="67"/>
      <c r="S10" s="67"/>
      <c r="W10" s="60"/>
      <c r="X10" s="59"/>
    </row>
    <row r="11" spans="1:24" x14ac:dyDescent="0.3">
      <c r="B11" s="203"/>
      <c r="C11" s="15" t="str">
        <f>IF(LangueChoisie=LangueFR,O11,P11)</f>
        <v>2-Dépôts conjoints</v>
      </c>
      <c r="D11" s="82" t="s">
        <v>9</v>
      </c>
      <c r="E11" s="49"/>
      <c r="F11" s="177"/>
      <c r="G11" s="177"/>
      <c r="H11" s="79">
        <f>F11+G11</f>
        <v>0</v>
      </c>
      <c r="I11" s="175"/>
      <c r="J11" s="57"/>
      <c r="K11" s="178"/>
      <c r="L11" s="189"/>
      <c r="M11" s="62"/>
      <c r="N11" s="2"/>
      <c r="O11" s="2" t="s">
        <v>66</v>
      </c>
      <c r="P11" s="2" t="s">
        <v>86</v>
      </c>
      <c r="Q11" s="49"/>
      <c r="R11" s="67"/>
      <c r="S11" s="67"/>
      <c r="W11" s="63"/>
      <c r="X11" s="63"/>
    </row>
    <row r="12" spans="1:24" ht="6" customHeight="1" x14ac:dyDescent="0.3">
      <c r="B12" s="203"/>
      <c r="C12" s="15"/>
      <c r="D12" s="81"/>
      <c r="E12" s="15"/>
      <c r="F12" s="57"/>
      <c r="G12" s="57"/>
      <c r="H12" s="57"/>
      <c r="I12" s="57"/>
      <c r="J12" s="57"/>
      <c r="K12" s="83"/>
      <c r="L12" s="83"/>
      <c r="M12" s="3"/>
      <c r="N12" s="1"/>
      <c r="O12" s="2"/>
      <c r="P12" s="2"/>
      <c r="Q12" s="49"/>
      <c r="R12" s="67"/>
      <c r="S12" s="67"/>
      <c r="W12" s="60"/>
      <c r="X12" s="59"/>
    </row>
    <row r="13" spans="1:24" x14ac:dyDescent="0.3">
      <c r="B13" s="203" t="s">
        <v>57</v>
      </c>
      <c r="C13" s="197" t="str">
        <f>IF(LangueChoisie=LangueFR,O13,P13)</f>
        <v>3-Dépôts en fiducie</v>
      </c>
      <c r="D13" s="82" t="s">
        <v>10</v>
      </c>
      <c r="E13" s="49"/>
      <c r="F13" s="177"/>
      <c r="G13" s="177"/>
      <c r="H13" s="79">
        <f>F13+G13</f>
        <v>0</v>
      </c>
      <c r="I13" s="175"/>
      <c r="J13" s="57"/>
      <c r="K13" s="178"/>
      <c r="L13" s="189"/>
      <c r="M13" s="62"/>
      <c r="N13" s="2"/>
      <c r="O13" s="2" t="s">
        <v>67</v>
      </c>
      <c r="P13" s="2" t="s">
        <v>87</v>
      </c>
      <c r="Q13" s="49"/>
      <c r="R13" s="67"/>
      <c r="S13" s="67"/>
      <c r="W13" s="63"/>
      <c r="X13" s="63"/>
    </row>
    <row r="14" spans="1:24" hidden="1" x14ac:dyDescent="0.3">
      <c r="B14" s="203"/>
      <c r="C14" s="164"/>
      <c r="D14" s="82" t="s">
        <v>73</v>
      </c>
      <c r="E14" s="49"/>
      <c r="F14" s="324" t="str">
        <f>IF(LangueChoisie=LangueFR,O14,P14)</f>
        <v>Nombre de comptes en fiducie:</v>
      </c>
      <c r="G14" s="324"/>
      <c r="H14" s="324"/>
      <c r="I14" s="324"/>
      <c r="J14" s="57"/>
      <c r="K14" s="129" t="str">
        <f>IF(P$47=1,K13,"")</f>
        <v/>
      </c>
      <c r="L14" s="190" t="str">
        <f>IF(P$47=1,L$13,"")</f>
        <v/>
      </c>
      <c r="M14" s="62"/>
      <c r="N14" s="2"/>
      <c r="O14" s="2" t="s">
        <v>77</v>
      </c>
      <c r="P14" s="2" t="s">
        <v>84</v>
      </c>
      <c r="Q14" s="49"/>
      <c r="R14" s="67"/>
      <c r="S14" s="67"/>
      <c r="W14" s="63"/>
      <c r="X14" s="63"/>
    </row>
    <row r="15" spans="1:24" hidden="1" x14ac:dyDescent="0.3">
      <c r="B15" s="203"/>
      <c r="C15" s="15"/>
      <c r="D15" s="82" t="s">
        <v>74</v>
      </c>
      <c r="E15" s="49"/>
      <c r="F15" s="325" t="str">
        <f>IF(LangueChoisie=LangueFR,O15,P15)</f>
        <v>Nombre de clients avec des comptes en fiducie:</v>
      </c>
      <c r="G15" s="325"/>
      <c r="H15" s="325"/>
      <c r="I15" s="325"/>
      <c r="J15" s="57"/>
      <c r="K15" s="129" t="str">
        <f>IF(P$47=2,K13,"")</f>
        <v/>
      </c>
      <c r="L15" s="191" t="str">
        <f>IF(P$47=2,L$13,"")</f>
        <v/>
      </c>
      <c r="M15" s="62"/>
      <c r="N15" s="2"/>
      <c r="O15" s="2" t="s">
        <v>78</v>
      </c>
      <c r="P15" s="2" t="s">
        <v>82</v>
      </c>
      <c r="Q15" s="49"/>
      <c r="R15" s="67"/>
      <c r="S15" s="67"/>
      <c r="W15" s="63"/>
      <c r="X15" s="63"/>
    </row>
    <row r="16" spans="1:24" hidden="1" x14ac:dyDescent="0.3">
      <c r="B16" s="203"/>
      <c r="C16" s="15"/>
      <c r="D16" s="82" t="s">
        <v>75</v>
      </c>
      <c r="E16" s="49"/>
      <c r="F16" s="325" t="str">
        <f>IF(LangueChoisie=LangueFR,O16,P16)</f>
        <v>Nombre de bénéficiaires :</v>
      </c>
      <c r="G16" s="325"/>
      <c r="H16" s="325"/>
      <c r="I16" s="325"/>
      <c r="J16" s="57"/>
      <c r="K16" s="129" t="str">
        <f>IF(P$47=3,K13,"")</f>
        <v/>
      </c>
      <c r="L16" s="191" t="str">
        <f>IF(P$47=3,L$13,"")</f>
        <v/>
      </c>
      <c r="M16" s="62"/>
      <c r="N16" s="2"/>
      <c r="O16" s="2" t="s">
        <v>76</v>
      </c>
      <c r="P16" s="2" t="s">
        <v>83</v>
      </c>
      <c r="Q16" s="49"/>
      <c r="R16" s="67"/>
      <c r="S16" s="67"/>
      <c r="W16" s="63"/>
      <c r="X16" s="63"/>
    </row>
    <row r="17" spans="2:24" ht="6" hidden="1" customHeight="1" x14ac:dyDescent="0.3">
      <c r="B17" s="203"/>
      <c r="C17" s="15"/>
      <c r="D17" s="81"/>
      <c r="E17" s="15"/>
      <c r="F17" s="57"/>
      <c r="G17" s="57"/>
      <c r="H17" s="57"/>
      <c r="I17" s="57"/>
      <c r="J17" s="57"/>
      <c r="K17" s="83"/>
      <c r="L17" s="83"/>
      <c r="M17" s="3"/>
      <c r="N17" s="1"/>
      <c r="O17" s="2"/>
      <c r="P17" s="2"/>
      <c r="Q17" s="49"/>
      <c r="R17" s="67"/>
      <c r="S17" s="67"/>
      <c r="W17" s="60"/>
      <c r="X17" s="59"/>
    </row>
    <row r="18" spans="2:24" hidden="1" x14ac:dyDescent="0.3">
      <c r="B18" s="203"/>
      <c r="C18" s="211" t="str">
        <f>IF(LangueChoisie=LangueFR,O18,P18)</f>
        <v>4-Dépôts en vertu d'un mandat</v>
      </c>
      <c r="D18" s="212" t="s">
        <v>46</v>
      </c>
      <c r="E18" s="49"/>
      <c r="F18" s="207">
        <v>0</v>
      </c>
      <c r="G18" s="207">
        <v>0</v>
      </c>
      <c r="H18" s="213">
        <f>F18+G18</f>
        <v>0</v>
      </c>
      <c r="I18" s="208">
        <v>0</v>
      </c>
      <c r="J18" s="57"/>
      <c r="K18" s="209">
        <v>0</v>
      </c>
      <c r="L18" s="210">
        <v>0</v>
      </c>
      <c r="M18" s="62"/>
      <c r="N18" s="2"/>
      <c r="O18" s="214" t="s">
        <v>68</v>
      </c>
      <c r="P18" s="214" t="s">
        <v>88</v>
      </c>
      <c r="Q18" s="49"/>
      <c r="R18" s="67"/>
      <c r="S18" s="67"/>
      <c r="W18" s="63"/>
      <c r="X18" s="63"/>
    </row>
    <row r="19" spans="2:24" ht="6" customHeight="1" x14ac:dyDescent="0.3">
      <c r="B19" s="203"/>
      <c r="C19" s="15"/>
      <c r="D19" s="81"/>
      <c r="E19" s="15"/>
      <c r="F19" s="57"/>
      <c r="G19" s="57"/>
      <c r="H19" s="57"/>
      <c r="I19" s="57"/>
      <c r="J19" s="57"/>
      <c r="K19" s="83"/>
      <c r="L19" s="83"/>
      <c r="M19" s="3"/>
      <c r="N19" s="1"/>
      <c r="O19" s="2"/>
      <c r="P19" s="2"/>
      <c r="Q19" s="49"/>
      <c r="R19" s="67"/>
      <c r="S19" s="67"/>
      <c r="W19" s="60"/>
      <c r="X19" s="59"/>
    </row>
    <row r="20" spans="2:24" x14ac:dyDescent="0.3">
      <c r="B20" s="203"/>
      <c r="C20" s="15" t="str">
        <f>IF(LangueChoisie=LangueFR,O20,P20)</f>
        <v>5-REER</v>
      </c>
      <c r="D20" s="82" t="s">
        <v>47</v>
      </c>
      <c r="E20" s="49"/>
      <c r="F20" s="177"/>
      <c r="G20" s="177"/>
      <c r="H20" s="79">
        <f>F20+G20</f>
        <v>0</v>
      </c>
      <c r="I20" s="175"/>
      <c r="J20" s="57"/>
      <c r="K20" s="178"/>
      <c r="L20" s="189"/>
      <c r="M20" s="62"/>
      <c r="N20" s="2"/>
      <c r="O20" s="2" t="s">
        <v>69</v>
      </c>
      <c r="P20" s="2" t="s">
        <v>89</v>
      </c>
      <c r="Q20" s="49"/>
      <c r="R20" s="67"/>
      <c r="S20" s="67"/>
      <c r="W20" s="63"/>
      <c r="X20" s="63"/>
    </row>
    <row r="21" spans="2:24" ht="6" customHeight="1" x14ac:dyDescent="0.3">
      <c r="B21" s="203"/>
      <c r="C21" s="15"/>
      <c r="D21" s="81"/>
      <c r="E21" s="15"/>
      <c r="F21" s="57"/>
      <c r="G21" s="57"/>
      <c r="H21" s="57"/>
      <c r="I21" s="57"/>
      <c r="J21" s="57"/>
      <c r="K21" s="83"/>
      <c r="L21" s="83"/>
      <c r="M21" s="3"/>
      <c r="N21" s="1"/>
      <c r="O21" s="2"/>
      <c r="P21" s="2"/>
      <c r="Q21" s="49"/>
      <c r="R21" s="67"/>
      <c r="S21" s="67"/>
      <c r="W21" s="60"/>
      <c r="X21" s="59"/>
    </row>
    <row r="22" spans="2:24" x14ac:dyDescent="0.3">
      <c r="B22" s="203"/>
      <c r="C22" s="15" t="str">
        <f>IF(LangueChoisie=LangueFR,O22,P22)</f>
        <v>6-FERR</v>
      </c>
      <c r="D22" s="82" t="s">
        <v>48</v>
      </c>
      <c r="E22" s="49"/>
      <c r="F22" s="177"/>
      <c r="G22" s="177"/>
      <c r="H22" s="79">
        <f>F22+G22</f>
        <v>0</v>
      </c>
      <c r="I22" s="175"/>
      <c r="J22" s="57"/>
      <c r="K22" s="178"/>
      <c r="L22" s="189"/>
      <c r="M22" s="62"/>
      <c r="N22" s="2"/>
      <c r="O22" s="2" t="s">
        <v>70</v>
      </c>
      <c r="P22" s="2" t="s">
        <v>90</v>
      </c>
      <c r="Q22" s="49"/>
      <c r="R22" s="67"/>
      <c r="S22" s="67"/>
      <c r="W22" s="63"/>
      <c r="X22" s="63"/>
    </row>
    <row r="23" spans="2:24" ht="6" customHeight="1" x14ac:dyDescent="0.3">
      <c r="B23" s="203"/>
      <c r="C23" s="15"/>
      <c r="D23" s="81"/>
      <c r="E23" s="15"/>
      <c r="F23" s="57"/>
      <c r="G23" s="57"/>
      <c r="H23" s="57"/>
      <c r="I23" s="57"/>
      <c r="J23" s="57"/>
      <c r="K23" s="83"/>
      <c r="L23" s="83"/>
      <c r="M23" s="3"/>
      <c r="N23" s="1"/>
      <c r="O23" s="2"/>
      <c r="P23" s="2"/>
      <c r="Q23" s="49"/>
      <c r="R23" s="67"/>
      <c r="S23" s="67"/>
      <c r="W23" s="60"/>
      <c r="X23" s="59"/>
    </row>
    <row r="24" spans="2:24" x14ac:dyDescent="0.3">
      <c r="B24" s="203"/>
      <c r="C24" s="15" t="str">
        <f>IF(LangueChoisie=LangueFR,O24,P24)</f>
        <v>7-CELI</v>
      </c>
      <c r="D24" s="82" t="s">
        <v>63</v>
      </c>
      <c r="E24" s="49"/>
      <c r="F24" s="177"/>
      <c r="G24" s="177"/>
      <c r="H24" s="79">
        <f>F24+G24</f>
        <v>0</v>
      </c>
      <c r="I24" s="175"/>
      <c r="J24" s="57"/>
      <c r="K24" s="178"/>
      <c r="L24" s="189"/>
      <c r="M24" s="62"/>
      <c r="N24" s="2"/>
      <c r="O24" s="2" t="s">
        <v>71</v>
      </c>
      <c r="P24" s="2" t="s">
        <v>91</v>
      </c>
      <c r="Q24" s="49"/>
      <c r="R24" s="67"/>
      <c r="S24" s="67"/>
      <c r="W24" s="63"/>
      <c r="X24" s="63"/>
    </row>
    <row r="25" spans="2:24" ht="6" hidden="1" customHeight="1" x14ac:dyDescent="0.3">
      <c r="B25" s="203"/>
      <c r="C25" s="15"/>
      <c r="D25" s="81"/>
      <c r="E25" s="15"/>
      <c r="F25" s="57"/>
      <c r="G25" s="57"/>
      <c r="H25" s="57"/>
      <c r="I25" s="57"/>
      <c r="J25" s="57"/>
      <c r="K25" s="83"/>
      <c r="L25" s="83"/>
      <c r="M25" s="3"/>
      <c r="N25" s="1"/>
      <c r="O25" s="2"/>
      <c r="P25" s="2"/>
      <c r="Q25" s="49"/>
      <c r="R25" s="67"/>
      <c r="S25" s="67"/>
      <c r="W25" s="60"/>
      <c r="X25" s="59"/>
    </row>
    <row r="26" spans="2:24" hidden="1" x14ac:dyDescent="0.3">
      <c r="B26" s="203"/>
      <c r="C26" s="211" t="str">
        <f>IF(LangueChoisie=LangueFR,O26,P26)</f>
        <v>8-Comptes d'impôts fonciers</v>
      </c>
      <c r="D26" s="212" t="s">
        <v>64</v>
      </c>
      <c r="E26" s="49"/>
      <c r="F26" s="207">
        <v>0</v>
      </c>
      <c r="G26" s="207">
        <v>0</v>
      </c>
      <c r="H26" s="213">
        <f>F26+G26</f>
        <v>0</v>
      </c>
      <c r="I26" s="208">
        <v>0</v>
      </c>
      <c r="J26" s="57"/>
      <c r="K26" s="209">
        <v>0</v>
      </c>
      <c r="L26" s="210">
        <v>0</v>
      </c>
      <c r="M26" s="62"/>
      <c r="N26" s="2"/>
      <c r="O26" s="214" t="s">
        <v>72</v>
      </c>
      <c r="P26" s="214" t="s">
        <v>270</v>
      </c>
      <c r="Q26" s="49"/>
      <c r="R26" s="67"/>
      <c r="S26" s="67"/>
      <c r="W26" s="63"/>
      <c r="X26" s="63"/>
    </row>
    <row r="27" spans="2:24" ht="6" customHeight="1" x14ac:dyDescent="0.3">
      <c r="B27" s="203"/>
      <c r="C27" s="164"/>
      <c r="D27" s="81"/>
      <c r="E27" s="164"/>
      <c r="F27" s="57"/>
      <c r="G27" s="57"/>
      <c r="H27" s="57"/>
      <c r="I27" s="57"/>
      <c r="J27" s="57"/>
      <c r="K27" s="83"/>
      <c r="L27" s="83"/>
      <c r="M27" s="3"/>
      <c r="N27" s="1"/>
      <c r="O27" s="2"/>
      <c r="P27" s="2"/>
      <c r="Q27" s="49"/>
      <c r="R27" s="67"/>
      <c r="S27" s="67"/>
      <c r="W27" s="60"/>
      <c r="X27" s="59"/>
    </row>
    <row r="28" spans="2:24" x14ac:dyDescent="0.3">
      <c r="B28" s="203"/>
      <c r="C28" s="197" t="str">
        <f>IF(LangueChoisie=LangueFR,O28,P28)</f>
        <v>9-REEE</v>
      </c>
      <c r="D28" s="82" t="s">
        <v>543</v>
      </c>
      <c r="E28" s="49"/>
      <c r="F28" s="177"/>
      <c r="G28" s="177"/>
      <c r="H28" s="79">
        <f>F28+G28</f>
        <v>0</v>
      </c>
      <c r="I28" s="175"/>
      <c r="J28" s="57"/>
      <c r="K28" s="178"/>
      <c r="L28" s="189"/>
      <c r="M28" s="62"/>
      <c r="N28" s="2"/>
      <c r="O28" s="2" t="s">
        <v>679</v>
      </c>
      <c r="P28" s="2" t="s">
        <v>681</v>
      </c>
      <c r="Q28" s="49"/>
      <c r="R28" s="67"/>
      <c r="S28" s="67"/>
      <c r="W28" s="63"/>
      <c r="X28" s="63"/>
    </row>
    <row r="29" spans="2:24" ht="6" customHeight="1" x14ac:dyDescent="0.3">
      <c r="B29" s="203"/>
      <c r="C29" s="197"/>
      <c r="D29" s="81"/>
      <c r="E29" s="164"/>
      <c r="F29" s="57"/>
      <c r="G29" s="57"/>
      <c r="H29" s="57"/>
      <c r="I29" s="57"/>
      <c r="J29" s="57"/>
      <c r="K29" s="83"/>
      <c r="L29" s="83"/>
      <c r="M29" s="3"/>
      <c r="N29" s="1"/>
      <c r="O29" s="2"/>
      <c r="P29" s="2"/>
      <c r="Q29" s="49"/>
      <c r="R29" s="67"/>
      <c r="S29" s="67"/>
      <c r="W29" s="60"/>
      <c r="X29" s="59"/>
    </row>
    <row r="30" spans="2:24" x14ac:dyDescent="0.3">
      <c r="B30" s="203"/>
      <c r="C30" s="197" t="str">
        <f>IF(LangueChoisie=LangueFR,O30,P30)</f>
        <v>10-REEI</v>
      </c>
      <c r="D30" s="82" t="s">
        <v>544</v>
      </c>
      <c r="E30" s="49"/>
      <c r="F30" s="177"/>
      <c r="G30" s="177"/>
      <c r="H30" s="79">
        <f>F30+G30</f>
        <v>0</v>
      </c>
      <c r="I30" s="175"/>
      <c r="J30" s="57"/>
      <c r="K30" s="178"/>
      <c r="L30" s="189"/>
      <c r="M30" s="62"/>
      <c r="N30" s="2"/>
      <c r="O30" s="2" t="s">
        <v>678</v>
      </c>
      <c r="P30" s="2" t="s">
        <v>682</v>
      </c>
      <c r="Q30" s="49"/>
      <c r="R30" s="67"/>
      <c r="S30" s="67"/>
      <c r="W30" s="63"/>
      <c r="X30" s="63"/>
    </row>
    <row r="31" spans="2:24" ht="6" customHeight="1" x14ac:dyDescent="0.3">
      <c r="B31" s="203"/>
      <c r="C31" s="197"/>
      <c r="D31" s="81"/>
      <c r="E31" s="164"/>
      <c r="F31" s="57"/>
      <c r="G31" s="57"/>
      <c r="H31" s="57"/>
      <c r="I31" s="57"/>
      <c r="J31" s="57"/>
      <c r="K31" s="83"/>
      <c r="L31" s="83"/>
      <c r="M31" s="3"/>
      <c r="N31" s="1"/>
      <c r="O31" s="2"/>
      <c r="P31" s="2"/>
      <c r="Q31" s="49"/>
      <c r="R31" s="67"/>
      <c r="S31" s="67"/>
      <c r="W31" s="60"/>
      <c r="X31" s="59"/>
    </row>
    <row r="32" spans="2:24" x14ac:dyDescent="0.3">
      <c r="B32" s="203"/>
      <c r="C32" s="256" t="str">
        <f>IF(LangueChoisie=LangueFR,O32,P32)</f>
        <v>11-CELIAPP</v>
      </c>
      <c r="D32" s="82" t="s">
        <v>545</v>
      </c>
      <c r="E32" s="49"/>
      <c r="F32" s="177"/>
      <c r="G32" s="177"/>
      <c r="H32" s="79">
        <f>_20008701+_20008702</f>
        <v>0</v>
      </c>
      <c r="I32" s="175"/>
      <c r="J32" s="57"/>
      <c r="K32" s="178"/>
      <c r="L32" s="189"/>
      <c r="M32" s="62"/>
      <c r="N32" s="2"/>
      <c r="O32" s="2" t="s">
        <v>844</v>
      </c>
      <c r="P32" s="2" t="s">
        <v>845</v>
      </c>
      <c r="Q32" s="49"/>
      <c r="R32" s="67"/>
      <c r="S32" s="67"/>
      <c r="W32" s="63"/>
      <c r="X32" s="63"/>
    </row>
    <row r="33" spans="2:24" ht="6" customHeight="1" x14ac:dyDescent="0.3">
      <c r="B33" s="203"/>
      <c r="C33" s="15"/>
      <c r="D33" s="81"/>
      <c r="E33" s="15"/>
      <c r="F33" s="57"/>
      <c r="G33" s="57"/>
      <c r="H33" s="57"/>
      <c r="I33" s="57"/>
      <c r="J33" s="57"/>
      <c r="K33" s="83"/>
      <c r="L33" s="83"/>
      <c r="M33" s="3"/>
      <c r="N33" s="1"/>
      <c r="O33" s="2"/>
      <c r="P33" s="2"/>
      <c r="Q33" s="49"/>
      <c r="R33" s="67"/>
      <c r="S33" s="67"/>
      <c r="W33" s="60"/>
      <c r="X33" s="59"/>
    </row>
    <row r="34" spans="2:24" x14ac:dyDescent="0.3">
      <c r="B34" s="203"/>
      <c r="C34" s="84" t="s">
        <v>677</v>
      </c>
      <c r="D34" s="82" t="s">
        <v>65</v>
      </c>
      <c r="E34" s="49"/>
      <c r="F34" s="128">
        <f>SUM(F9:F32)</f>
        <v>0</v>
      </c>
      <c r="G34" s="128">
        <f>SUM(G9:G32)</f>
        <v>0</v>
      </c>
      <c r="H34" s="89">
        <f>F34+G34</f>
        <v>0</v>
      </c>
      <c r="I34" s="89">
        <f>SUM(I9,I11,I13,I18,I20,I22,I24,I26,I28,I30,I32)</f>
        <v>0</v>
      </c>
      <c r="J34" s="57"/>
      <c r="K34" s="192">
        <f>SUM(K9:K13,K18:K32)</f>
        <v>0</v>
      </c>
      <c r="L34" s="192">
        <f>SUM(L9:L13,L18:L32)</f>
        <v>0</v>
      </c>
      <c r="M34" s="62"/>
      <c r="N34" s="2"/>
      <c r="O34" s="2"/>
      <c r="P34" s="2"/>
      <c r="Q34" s="49"/>
      <c r="R34" s="67"/>
      <c r="S34" s="67"/>
      <c r="W34" s="63"/>
      <c r="X34" s="63"/>
    </row>
    <row r="35" spans="2:24" x14ac:dyDescent="0.3">
      <c r="B35" s="203"/>
      <c r="C35" s="109"/>
      <c r="D35" s="81"/>
      <c r="E35" s="15"/>
      <c r="F35" s="57"/>
      <c r="G35" s="57"/>
      <c r="H35" s="57"/>
      <c r="I35" s="57"/>
      <c r="J35" s="57"/>
      <c r="M35" s="43"/>
      <c r="O35" s="109"/>
      <c r="P35" s="255"/>
      <c r="Q35" s="15"/>
    </row>
    <row r="36" spans="2:24" x14ac:dyDescent="0.3">
      <c r="B36" s="203"/>
      <c r="C36" s="109"/>
      <c r="D36" s="81"/>
      <c r="E36" s="15"/>
      <c r="F36" s="57"/>
      <c r="G36" s="57"/>
      <c r="H36" s="57"/>
      <c r="I36" s="57"/>
      <c r="J36" s="57"/>
      <c r="M36" s="43"/>
      <c r="O36" s="109"/>
      <c r="P36" s="108"/>
      <c r="Q36" s="15"/>
    </row>
    <row r="37" spans="2:24" x14ac:dyDescent="0.3">
      <c r="B37" s="203"/>
      <c r="C37" s="111" t="str">
        <f>IF(LangueChoisie=LangueFR,O37,P37)</f>
        <v>Remarques</v>
      </c>
      <c r="D37" s="81"/>
      <c r="E37" s="15"/>
      <c r="F37" s="57"/>
      <c r="G37" s="57"/>
      <c r="H37" s="57"/>
      <c r="I37" s="57"/>
      <c r="J37" s="57"/>
      <c r="M37" s="43"/>
      <c r="O37" s="109" t="s">
        <v>59</v>
      </c>
      <c r="P37" s="108" t="s">
        <v>282</v>
      </c>
      <c r="Q37" s="15"/>
    </row>
    <row r="38" spans="2:24" ht="7.5" customHeight="1" x14ac:dyDescent="0.3">
      <c r="B38" s="203"/>
      <c r="C38" s="15"/>
      <c r="D38" s="81"/>
      <c r="E38" s="15"/>
      <c r="F38" s="15"/>
      <c r="G38" s="15"/>
      <c r="H38" s="15"/>
      <c r="I38" s="164"/>
      <c r="J38" s="15"/>
      <c r="K38" s="15"/>
      <c r="L38" s="15"/>
      <c r="M38" s="41"/>
      <c r="N38" s="15"/>
      <c r="O38" s="71"/>
      <c r="P38" s="162"/>
      <c r="Q38" s="15"/>
    </row>
    <row r="39" spans="2:24" ht="12.75" customHeight="1" x14ac:dyDescent="0.3">
      <c r="B39" s="254" t="s">
        <v>33</v>
      </c>
      <c r="C39" s="306" t="str">
        <f>IF(LangueChoisie=LangueFR,O39,P39)</f>
        <v>Dépôts admissibles en dollars canadiens, plus dépôts admissibles en devises étrangères convertis en dollars canadiens.</v>
      </c>
      <c r="D39" s="306"/>
      <c r="E39" s="306"/>
      <c r="F39" s="306"/>
      <c r="G39" s="306"/>
      <c r="H39" s="306"/>
      <c r="I39" s="306"/>
      <c r="J39" s="306"/>
      <c r="K39" s="306"/>
      <c r="L39" s="306"/>
      <c r="M39" s="70"/>
      <c r="N39" s="15"/>
      <c r="O39" s="71" t="s">
        <v>908</v>
      </c>
      <c r="P39" s="221" t="s">
        <v>909</v>
      </c>
      <c r="Q39" s="15"/>
    </row>
    <row r="40" spans="2:24" ht="9.75" customHeight="1" x14ac:dyDescent="0.3">
      <c r="B40" s="203"/>
      <c r="C40" s="72"/>
      <c r="D40" s="85"/>
      <c r="E40" s="73"/>
      <c r="F40" s="73"/>
      <c r="G40" s="73"/>
      <c r="H40" s="73"/>
      <c r="I40" s="73"/>
      <c r="J40" s="73"/>
      <c r="K40" s="73"/>
      <c r="L40" s="73"/>
      <c r="M40" s="74"/>
      <c r="N40" s="49"/>
      <c r="O40" s="86" t="s">
        <v>183</v>
      </c>
      <c r="P40" s="87" t="s">
        <v>286</v>
      </c>
      <c r="Q40" s="49"/>
    </row>
    <row r="41" spans="2:24" ht="12.75" customHeight="1" x14ac:dyDescent="0.3">
      <c r="B41" s="203" t="s">
        <v>57</v>
      </c>
      <c r="C41" s="305" t="str">
        <f>IF(LangueChoisie=LangueFR,'200'!O44,'200'!P44)</f>
        <v xml:space="preserve">Dépôts en fiducie ou pour l'administration du bien d'autrui.
</v>
      </c>
      <c r="D41" s="305"/>
      <c r="E41" s="305"/>
      <c r="F41" s="305"/>
      <c r="G41" s="305"/>
      <c r="H41" s="305"/>
      <c r="I41" s="322"/>
      <c r="J41" s="322"/>
      <c r="K41" s="322"/>
      <c r="L41" s="322"/>
      <c r="M41" s="70"/>
      <c r="N41" s="49"/>
      <c r="O41" s="86" t="s">
        <v>79</v>
      </c>
      <c r="P41" s="86" t="s">
        <v>84</v>
      </c>
      <c r="Q41" s="49"/>
    </row>
    <row r="42" spans="2:24" ht="12.75" customHeight="1" x14ac:dyDescent="0.3">
      <c r="B42" s="203"/>
      <c r="C42" s="305" t="str">
        <f>IF(LangueChoisie=LangueFR,'200'!O45,'200'!P45)</f>
        <v>Pour les cases 030-(04) et 030-(05), vous pouvez indiquer soit le
nombre de comptes en fiducie, soit le nombre de clients ayant
des comptes en fiducie ou soit le nombre de bénéficiaires. 
Veuillez spécifier votre choix en cochant le cercle approprié :</v>
      </c>
      <c r="D42" s="305"/>
      <c r="E42" s="305"/>
      <c r="F42" s="305"/>
      <c r="G42" s="305"/>
      <c r="I42" s="322" t="str">
        <f>IF(LangueChoisie=LangueFR,'200'!O41,'200'!P41)</f>
        <v>Nombre de comptes en fiducie</v>
      </c>
      <c r="J42" s="322"/>
      <c r="K42" s="322"/>
      <c r="L42" s="322"/>
      <c r="M42" s="70"/>
      <c r="N42" s="5"/>
      <c r="O42" s="86" t="s">
        <v>80</v>
      </c>
      <c r="P42" s="86" t="s">
        <v>287</v>
      </c>
      <c r="Q42" s="5"/>
    </row>
    <row r="43" spans="2:24" ht="12.75" customHeight="1" x14ac:dyDescent="0.3">
      <c r="B43" s="203"/>
      <c r="C43" s="305"/>
      <c r="D43" s="305"/>
      <c r="E43" s="305"/>
      <c r="F43" s="305"/>
      <c r="G43" s="305"/>
      <c r="I43" s="322" t="str">
        <f>IF(LangueChoisie=LangueFR,O42,P42)</f>
        <v>Nombre de clients ayant des comptes en fiducie</v>
      </c>
      <c r="J43" s="322"/>
      <c r="K43" s="322"/>
      <c r="L43" s="322"/>
      <c r="M43" s="70"/>
      <c r="O43" s="86" t="s">
        <v>81</v>
      </c>
      <c r="P43" s="86" t="s">
        <v>83</v>
      </c>
    </row>
    <row r="44" spans="2:24" ht="12.75" customHeight="1" x14ac:dyDescent="0.3">
      <c r="B44" s="203"/>
      <c r="C44" s="305"/>
      <c r="D44" s="305"/>
      <c r="E44" s="305"/>
      <c r="F44" s="305"/>
      <c r="G44" s="305"/>
      <c r="I44" s="322" t="str">
        <f>IF(LangueChoisie=LangueFR,O43,P43)</f>
        <v>Nombre de bénéficiaires</v>
      </c>
      <c r="J44" s="322"/>
      <c r="K44" s="322"/>
      <c r="L44" s="322"/>
      <c r="M44" s="70"/>
      <c r="O44" s="216" t="s">
        <v>683</v>
      </c>
      <c r="P44" s="216" t="s">
        <v>685</v>
      </c>
    </row>
    <row r="45" spans="2:24" ht="12.75" customHeight="1" x14ac:dyDescent="0.3">
      <c r="B45" s="203"/>
      <c r="C45" s="305"/>
      <c r="D45" s="305"/>
      <c r="E45" s="305"/>
      <c r="F45" s="305"/>
      <c r="G45" s="305"/>
      <c r="H45" s="205"/>
      <c r="I45" s="322" t="str">
        <f>IF(LangueChoisie=LangueFR,O40,P40)</f>
        <v>Non applicable - aucun dépôt en fiducie</v>
      </c>
      <c r="J45" s="322"/>
      <c r="K45" s="322"/>
      <c r="L45" s="322"/>
      <c r="M45" s="70"/>
      <c r="O45" s="215" t="s">
        <v>684</v>
      </c>
      <c r="P45" s="215" t="s">
        <v>686</v>
      </c>
    </row>
    <row r="46" spans="2:24" ht="9.75" customHeight="1" x14ac:dyDescent="0.3">
      <c r="B46" s="203"/>
      <c r="C46" s="88"/>
      <c r="D46" s="88"/>
      <c r="E46" s="88"/>
      <c r="F46" s="88"/>
      <c r="G46" s="88"/>
      <c r="H46" s="110"/>
      <c r="I46" s="183"/>
      <c r="J46" s="110"/>
      <c r="K46" s="110"/>
      <c r="L46" s="110"/>
      <c r="M46" s="70"/>
      <c r="O46" s="215"/>
      <c r="P46" s="215"/>
    </row>
    <row r="47" spans="2:24" ht="26.25" customHeight="1" x14ac:dyDescent="0.3">
      <c r="B47" s="181" t="s">
        <v>95</v>
      </c>
      <c r="C47" s="305" t="str">
        <f>IF(LangueChoisie=LangueFR,'200'!O48,'200'!P48)</f>
        <v>Les montants supérieurs à 100 000$ indiqués ne doivent représenter que la partie excédant cette limite. Par exemple, pour un déposant ayant 120 000$ en protection de base, la colonne (01) devrait contenir 100 000$ et la colonne (02), 20 000$.</v>
      </c>
      <c r="D47" s="305"/>
      <c r="E47" s="305"/>
      <c r="F47" s="305"/>
      <c r="G47" s="305"/>
      <c r="H47" s="305"/>
      <c r="I47" s="305"/>
      <c r="J47" s="305"/>
      <c r="K47" s="305"/>
      <c r="L47" s="305"/>
      <c r="M47" s="70"/>
      <c r="O47" s="115" t="s">
        <v>269</v>
      </c>
      <c r="P47" s="196">
        <v>4</v>
      </c>
    </row>
    <row r="48" spans="2:24" ht="9.75" customHeight="1" x14ac:dyDescent="0.3">
      <c r="B48" s="203"/>
      <c r="M48" s="70"/>
      <c r="O48" s="119" t="s">
        <v>899</v>
      </c>
      <c r="P48" s="206" t="s">
        <v>674</v>
      </c>
    </row>
    <row r="49" spans="2:19" ht="12.75" customHeight="1" x14ac:dyDescent="0.3">
      <c r="B49" s="181" t="s">
        <v>467</v>
      </c>
      <c r="C49" s="306" t="str">
        <f>IF(LangueChoisie=LangueFR,'200'!O49,'200'!P49)</f>
        <v>Montant converti en dollars canadiens des dépôts en devises étrangères inclus dans la colonne (03).</v>
      </c>
      <c r="D49" s="306"/>
      <c r="E49" s="306"/>
      <c r="F49" s="306"/>
      <c r="G49" s="306"/>
      <c r="H49" s="306"/>
      <c r="I49" s="306"/>
      <c r="J49" s="306"/>
      <c r="K49" s="306"/>
      <c r="L49" s="306"/>
      <c r="M49" s="70"/>
      <c r="O49" s="249" t="s">
        <v>829</v>
      </c>
      <c r="P49" s="186" t="s">
        <v>680</v>
      </c>
      <c r="Q49" s="86"/>
      <c r="R49" s="86"/>
      <c r="S49" s="86"/>
    </row>
    <row r="50" spans="2:19" ht="9.75" customHeight="1" x14ac:dyDescent="0.3">
      <c r="B50" s="181"/>
      <c r="C50" s="182"/>
      <c r="D50" s="182"/>
      <c r="E50" s="182"/>
      <c r="F50" s="182"/>
      <c r="G50" s="182"/>
      <c r="H50" s="182"/>
      <c r="I50" s="182"/>
      <c r="J50" s="182"/>
      <c r="K50" s="182"/>
      <c r="L50" s="182"/>
      <c r="M50" s="70"/>
      <c r="O50" s="86"/>
      <c r="P50" s="86"/>
      <c r="Q50" s="86"/>
      <c r="R50" s="86"/>
      <c r="S50" s="86"/>
    </row>
    <row r="51" spans="2:19" ht="36.75" customHeight="1" x14ac:dyDescent="0.3">
      <c r="B51" s="181" t="s">
        <v>178</v>
      </c>
      <c r="C51" s="306" t="str">
        <f>IF(LangueChoisie=LangueFR,'200'!O51,'200'!P51)</f>
        <v>Un déposant possédant plus de 100 000$ pour une garantie donnée ne doit être compté que dans la colonne (05).
Un déposant n'ayant que des comptes de solde nul (0$) ou négatif ne doit pas être compté dans ces colonnes,
en vertu de l'article 1 du RALIDPD.</v>
      </c>
      <c r="D51" s="306"/>
      <c r="E51" s="306"/>
      <c r="F51" s="306"/>
      <c r="G51" s="306"/>
      <c r="H51" s="306"/>
      <c r="I51" s="306"/>
      <c r="J51" s="306"/>
      <c r="K51" s="306"/>
      <c r="L51" s="306"/>
      <c r="M51" s="70"/>
      <c r="O51" s="119" t="s">
        <v>910</v>
      </c>
      <c r="P51" s="119" t="s">
        <v>911</v>
      </c>
      <c r="Q51" s="86"/>
      <c r="R51" s="86"/>
      <c r="S51" s="86"/>
    </row>
    <row r="52" spans="2:19" ht="9.75" customHeight="1" x14ac:dyDescent="0.3">
      <c r="B52" s="203"/>
      <c r="M52" s="70"/>
      <c r="O52" s="119"/>
      <c r="P52" s="206"/>
    </row>
    <row r="53" spans="2:19" ht="12.75" customHeight="1" x14ac:dyDescent="0.3">
      <c r="B53" s="181"/>
      <c r="C53" s="332" t="str">
        <f>IF(LangueChoisie=LangueFR,'200'!O53,'200'!P53)</f>
        <v>Notez que les catégories 4 (mandats) et 8 (impôts fonciers) ont été abolies lors de la révision du RALIDPD de 2021.</v>
      </c>
      <c r="D53" s="332"/>
      <c r="E53" s="332"/>
      <c r="F53" s="332"/>
      <c r="G53" s="332"/>
      <c r="H53" s="332"/>
      <c r="I53" s="332"/>
      <c r="J53" s="332"/>
      <c r="K53" s="332"/>
      <c r="L53" s="332"/>
      <c r="M53" s="70"/>
      <c r="O53" s="249" t="s">
        <v>918</v>
      </c>
      <c r="P53" s="258" t="s">
        <v>913</v>
      </c>
      <c r="Q53" s="86"/>
      <c r="R53" s="86"/>
      <c r="S53" s="86"/>
    </row>
    <row r="54" spans="2:19" ht="12.75" customHeight="1" x14ac:dyDescent="0.3">
      <c r="B54" s="307"/>
      <c r="C54" s="308"/>
      <c r="D54" s="308"/>
      <c r="E54" s="308"/>
      <c r="F54" s="308"/>
      <c r="G54" s="308"/>
      <c r="H54" s="308"/>
      <c r="I54" s="308"/>
      <c r="J54" s="308"/>
      <c r="K54" s="308"/>
      <c r="L54" s="308"/>
      <c r="M54" s="309"/>
    </row>
    <row r="55" spans="2:19" ht="12.75" customHeight="1" x14ac:dyDescent="0.3"/>
  </sheetData>
  <sheetProtection algorithmName="SHA-512" hashValue="+vnQA4+S15R/Umw5XeybA7Q4bfzCAbbyK4vrpUIZ2zaD4cHP1wtqyfaSDaTGsDCch9MElAc69Kv4+iwOg+5edg==" saltValue="CSLAq39cjWxKvAZNqiMyyw==" spinCount="100000" sheet="1" objects="1" scenarios="1"/>
  <mergeCells count="22">
    <mergeCell ref="B54:M54"/>
    <mergeCell ref="K5:L5"/>
    <mergeCell ref="C5:C7"/>
    <mergeCell ref="C51:L51"/>
    <mergeCell ref="C49:L49"/>
    <mergeCell ref="C47:L47"/>
    <mergeCell ref="I41:L41"/>
    <mergeCell ref="I42:L42"/>
    <mergeCell ref="I43:L43"/>
    <mergeCell ref="I44:L44"/>
    <mergeCell ref="C42:G45"/>
    <mergeCell ref="C39:L39"/>
    <mergeCell ref="C53:L53"/>
    <mergeCell ref="O1:P1"/>
    <mergeCell ref="C41:H41"/>
    <mergeCell ref="I45:L45"/>
    <mergeCell ref="B1:M1"/>
    <mergeCell ref="B2:M2"/>
    <mergeCell ref="F14:I14"/>
    <mergeCell ref="F15:I15"/>
    <mergeCell ref="F16:I16"/>
    <mergeCell ref="F5:I5"/>
  </mergeCells>
  <dataValidations count="2">
    <dataValidation type="whole" allowBlank="1" showInputMessage="1" showErrorMessage="1" sqref="F9:G9 F13:G13 F18:G18 F20:G20 F22:G22 F11:G11 F24:G24 F26:G32 I9 I11 I13 I18 I20 I22 I24 I26 I28 I30:I32" xr:uid="{00000000-0002-0000-0300-000000000000}">
      <formula1>0</formula1>
      <formula2>10000000000000</formula2>
    </dataValidation>
    <dataValidation type="whole" allowBlank="1" showInputMessage="1" showErrorMessage="1" sqref="K9:L34" xr:uid="{00000000-0002-0000-0300-000001000000}">
      <formula1>0</formula1>
      <formula2>100000000</formula2>
    </dataValidation>
  </dataValidations>
  <pageMargins left="0.118110236220472" right="0.118110236220472" top="0.74803149606299202" bottom="0.74803149606299202" header="0.31496062992126" footer="0.31496062992126"/>
  <pageSetup orientation="portrait" r:id="rId1"/>
  <headerFooter>
    <oddFooter>&amp;LAutorité des marchés financiers&amp;CDDG - 5.0&amp;RPage &amp;P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Group Box 17">
              <controlPr defaultSize="0" autoLine="0" autoPict="0">
                <anchor moveWithCells="1">
                  <from>
                    <xdr:col>7</xdr:col>
                    <xdr:colOff>632460</xdr:colOff>
                    <xdr:row>40</xdr:row>
                    <xdr:rowOff>137160</xdr:rowOff>
                  </from>
                  <to>
                    <xdr:col>11</xdr:col>
                    <xdr:colOff>541020</xdr:colOff>
                    <xdr:row>45</xdr:row>
                    <xdr:rowOff>30480</xdr:rowOff>
                  </to>
                </anchor>
              </controlPr>
            </control>
          </mc:Choice>
        </mc:AlternateContent>
        <mc:AlternateContent xmlns:mc="http://schemas.openxmlformats.org/markup-compatibility/2006">
          <mc:Choice Requires="x14">
            <control shapeId="6163" r:id="rId5" name="Option Button 19">
              <controlPr defaultSize="0" autoLine="0" autoPict="0">
                <anchor moveWithCells="1">
                  <from>
                    <xdr:col>7</xdr:col>
                    <xdr:colOff>640080</xdr:colOff>
                    <xdr:row>41</xdr:row>
                    <xdr:rowOff>22860</xdr:rowOff>
                  </from>
                  <to>
                    <xdr:col>8</xdr:col>
                    <xdr:colOff>617220</xdr:colOff>
                    <xdr:row>41</xdr:row>
                    <xdr:rowOff>144780</xdr:rowOff>
                  </to>
                </anchor>
              </controlPr>
            </control>
          </mc:Choice>
        </mc:AlternateContent>
        <mc:AlternateContent xmlns:mc="http://schemas.openxmlformats.org/markup-compatibility/2006">
          <mc:Choice Requires="x14">
            <control shapeId="6164" r:id="rId6" name="Option Button 20">
              <controlPr defaultSize="0" autoLine="0" autoPict="0">
                <anchor moveWithCells="1">
                  <from>
                    <xdr:col>7</xdr:col>
                    <xdr:colOff>640080</xdr:colOff>
                    <xdr:row>42</xdr:row>
                    <xdr:rowOff>30480</xdr:rowOff>
                  </from>
                  <to>
                    <xdr:col>8</xdr:col>
                    <xdr:colOff>617220</xdr:colOff>
                    <xdr:row>42</xdr:row>
                    <xdr:rowOff>144780</xdr:rowOff>
                  </to>
                </anchor>
              </controlPr>
            </control>
          </mc:Choice>
        </mc:AlternateContent>
        <mc:AlternateContent xmlns:mc="http://schemas.openxmlformats.org/markup-compatibility/2006">
          <mc:Choice Requires="x14">
            <control shapeId="6165" r:id="rId7" name="Option Button 21">
              <controlPr defaultSize="0" autoLine="0" autoPict="0">
                <anchor moveWithCells="1">
                  <from>
                    <xdr:col>7</xdr:col>
                    <xdr:colOff>640080</xdr:colOff>
                    <xdr:row>43</xdr:row>
                    <xdr:rowOff>7620</xdr:rowOff>
                  </from>
                  <to>
                    <xdr:col>8</xdr:col>
                    <xdr:colOff>617220</xdr:colOff>
                    <xdr:row>43</xdr:row>
                    <xdr:rowOff>152400</xdr:rowOff>
                  </to>
                </anchor>
              </controlPr>
            </control>
          </mc:Choice>
        </mc:AlternateContent>
        <mc:AlternateContent xmlns:mc="http://schemas.openxmlformats.org/markup-compatibility/2006">
          <mc:Choice Requires="x14">
            <control shapeId="6166" r:id="rId8" name="Option Button 22">
              <controlPr defaultSize="0" autoLine="0" autoPict="0">
                <anchor moveWithCells="1">
                  <from>
                    <xdr:col>7</xdr:col>
                    <xdr:colOff>640080</xdr:colOff>
                    <xdr:row>44</xdr:row>
                    <xdr:rowOff>7620</xdr:rowOff>
                  </from>
                  <to>
                    <xdr:col>8</xdr:col>
                    <xdr:colOff>617220</xdr:colOff>
                    <xdr:row>44</xdr:row>
                    <xdr:rowOff>152400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 operator="notEqual" id="{00000000-000E-0000-0300-000003000000}">
            <xm:f>'100'!$J$20</xm:f>
            <x14:dxf>
              <font>
                <color rgb="FFC00000"/>
              </font>
            </x14:dxf>
          </x14:cfRule>
          <xm:sqref>F34</xm:sqref>
        </x14:conditionalFormatting>
        <x14:conditionalFormatting xmlns:xm="http://schemas.microsoft.com/office/excel/2006/main">
          <x14:cfRule type="cellIs" priority="2" operator="notEqual" id="{00000000-000E-0000-0300-000002000000}">
            <xm:f>'100'!$J$14</xm:f>
            <x14:dxf>
              <font>
                <color rgb="FFC00000"/>
              </font>
            </x14:dxf>
          </x14:cfRule>
          <xm:sqref>H34</xm:sqref>
        </x14:conditionalFormatting>
        <x14:conditionalFormatting xmlns:xm="http://schemas.microsoft.com/office/excel/2006/main">
          <x14:cfRule type="cellIs" priority="1" operator="notEqual" id="{00000000-000E-0000-0300-000001000000}">
            <xm:f>'100'!$J$17</xm:f>
            <x14:dxf>
              <font>
                <color rgb="FFC00000"/>
              </font>
            </x14:dxf>
          </x14:cfRule>
          <xm:sqref>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300"/>
  <dimension ref="A1:S25"/>
  <sheetViews>
    <sheetView zoomScaleNormal="100" workbookViewId="0">
      <selection activeCell="F8" sqref="F8"/>
    </sheetView>
  </sheetViews>
  <sheetFormatPr baseColWidth="10" defaultColWidth="0" defaultRowHeight="14.4" x14ac:dyDescent="0.3"/>
  <cols>
    <col min="1" max="1" width="2.88671875" style="42" customWidth="1"/>
    <col min="2" max="2" width="1.44140625" style="5" customWidth="1"/>
    <col min="3" max="3" width="9.5546875" style="5" customWidth="1"/>
    <col min="4" max="4" width="25.44140625" style="5" customWidth="1"/>
    <col min="5" max="5" width="1.88671875" style="5" customWidth="1"/>
    <col min="6" max="6" width="20" style="5" customWidth="1"/>
    <col min="7" max="7" width="4" style="5" bestFit="1" customWidth="1"/>
    <col min="8" max="8" width="4.6640625" style="5" customWidth="1"/>
    <col min="9" max="9" width="5.33203125" style="5" customWidth="1"/>
    <col min="10" max="10" width="4" style="5" customWidth="1"/>
    <col min="11" max="11" width="1.44140625" style="5" customWidth="1"/>
    <col min="12" max="12" width="2.88671875" style="5" hidden="1" customWidth="1"/>
    <col min="13" max="13" width="65.6640625" style="42" hidden="1" customWidth="1"/>
    <col min="14" max="14" width="79.5546875" style="42" hidden="1" customWidth="1"/>
    <col min="15" max="15" width="2.88671875" style="42" customWidth="1"/>
    <col min="16" max="19" width="0" style="42" hidden="1" customWidth="1"/>
    <col min="20" max="16384" width="11.44140625" style="42" hidden="1"/>
  </cols>
  <sheetData>
    <row r="1" spans="2:19" ht="15.6" x14ac:dyDescent="0.3">
      <c r="B1" s="313" t="str">
        <f>'T des M - T of C'!B6:D6</f>
        <v>DÉCLARATION DES DÉPÔTS GARANTIS</v>
      </c>
      <c r="C1" s="313"/>
      <c r="D1" s="313"/>
      <c r="E1" s="313"/>
      <c r="F1" s="313"/>
      <c r="G1" s="313"/>
      <c r="H1" s="313"/>
      <c r="I1" s="313"/>
      <c r="J1" s="313"/>
      <c r="K1" s="313"/>
      <c r="L1" s="90"/>
    </row>
    <row r="2" spans="2:19" ht="15.6" x14ac:dyDescent="0.3">
      <c r="B2" s="314" t="str">
        <f>'T des M - T of C'!C11&amp;"  "&amp;IF(LangueChoisie=LangueFR,M2,N2)</f>
        <v>Calcul de prime  (Annexe 300)</v>
      </c>
      <c r="C2" s="314"/>
      <c r="D2" s="314"/>
      <c r="E2" s="314"/>
      <c r="F2" s="314"/>
      <c r="G2" s="314"/>
      <c r="H2" s="314"/>
      <c r="I2" s="314"/>
      <c r="J2" s="314"/>
      <c r="K2" s="314"/>
      <c r="L2" s="38"/>
      <c r="M2" s="38" t="s">
        <v>177</v>
      </c>
      <c r="N2" s="38" t="s">
        <v>285</v>
      </c>
    </row>
    <row r="3" spans="2:19" x14ac:dyDescent="0.3">
      <c r="B3" s="130"/>
      <c r="C3" s="131"/>
      <c r="D3" s="131"/>
      <c r="H3" s="283"/>
      <c r="I3" s="283"/>
      <c r="J3" s="132"/>
      <c r="K3" s="134"/>
      <c r="L3" s="133"/>
    </row>
    <row r="4" spans="2:19" x14ac:dyDescent="0.3">
      <c r="B4" s="91"/>
      <c r="C4" s="260" t="str">
        <f>IF(LangueChoisie=LangueFR,'300'!M4,'300'!N4)</f>
        <v>Prime payable :</v>
      </c>
      <c r="D4" s="260"/>
      <c r="F4" s="139">
        <f>IF(_Ident020&lt;&gt;CharteQC,0,IF(TauxPrime*_10005003&lt;SeuilMinimal,SeuilMinimal,TauxPrime*_10005003))</f>
        <v>5000</v>
      </c>
      <c r="G4" s="127" t="s">
        <v>8</v>
      </c>
      <c r="H4" s="132"/>
      <c r="I4" s="132"/>
      <c r="J4" s="132"/>
      <c r="K4" s="134"/>
      <c r="L4" s="133"/>
      <c r="M4" s="117" t="s">
        <v>173</v>
      </c>
      <c r="N4" s="42" t="s">
        <v>174</v>
      </c>
    </row>
    <row r="5" spans="2:19" x14ac:dyDescent="0.3">
      <c r="B5" s="92"/>
      <c r="C5" s="93"/>
      <c r="D5" s="93"/>
      <c r="G5" s="72"/>
      <c r="H5" s="132"/>
      <c r="I5" s="132"/>
      <c r="J5" s="132"/>
      <c r="K5" s="134"/>
      <c r="L5" s="133"/>
      <c r="M5" s="117"/>
    </row>
    <row r="6" spans="2:19" x14ac:dyDescent="0.3">
      <c r="B6" s="91"/>
      <c r="C6" s="337" t="str">
        <f>IF(LangueChoisie=LangueFR,M6,N6)&amp;" ("&amp;TauxTaxeEnTxt&amp;") :"</f>
        <v>Taxe sur les primes d'assurance (9%) :</v>
      </c>
      <c r="D6" s="337"/>
      <c r="F6" s="139">
        <f>F4*TauxTaxe</f>
        <v>450</v>
      </c>
      <c r="G6" s="127" t="s">
        <v>9</v>
      </c>
      <c r="H6" s="132"/>
      <c r="I6" s="132"/>
      <c r="J6" s="132"/>
      <c r="K6" s="134"/>
      <c r="L6" s="133"/>
      <c r="M6" s="117" t="s">
        <v>180</v>
      </c>
      <c r="N6" s="42" t="s">
        <v>181</v>
      </c>
    </row>
    <row r="7" spans="2:19" x14ac:dyDescent="0.3">
      <c r="B7" s="92"/>
      <c r="C7" s="93"/>
      <c r="D7" s="93"/>
      <c r="H7" s="132"/>
      <c r="I7" s="132"/>
      <c r="J7" s="132"/>
      <c r="K7" s="134"/>
      <c r="L7" s="133"/>
      <c r="M7" s="117"/>
    </row>
    <row r="8" spans="2:19" x14ac:dyDescent="0.3">
      <c r="B8" s="94"/>
      <c r="C8" s="260" t="s">
        <v>93</v>
      </c>
      <c r="D8" s="260"/>
      <c r="F8" s="140">
        <f>F4+F6</f>
        <v>5450</v>
      </c>
      <c r="G8" s="127" t="s">
        <v>10</v>
      </c>
      <c r="H8" s="132"/>
      <c r="I8" s="132"/>
      <c r="J8" s="132"/>
      <c r="K8" s="134"/>
      <c r="L8" s="133"/>
      <c r="M8" s="117"/>
    </row>
    <row r="9" spans="2:19" x14ac:dyDescent="0.3">
      <c r="B9" s="130"/>
      <c r="C9" s="131"/>
      <c r="D9" s="131"/>
      <c r="H9" s="132"/>
      <c r="I9" s="132"/>
      <c r="J9" s="132"/>
      <c r="K9" s="134"/>
      <c r="L9" s="133"/>
    </row>
    <row r="10" spans="2:19" x14ac:dyDescent="0.3">
      <c r="B10" s="130"/>
      <c r="C10" s="336" t="str">
        <f>IF(LangueChoisie=LangueFR,M10,N10)</f>
        <v>Remarques</v>
      </c>
      <c r="D10" s="336"/>
      <c r="K10" s="134"/>
      <c r="L10" s="133"/>
      <c r="M10" s="42" t="s">
        <v>59</v>
      </c>
      <c r="N10" s="42" t="s">
        <v>282</v>
      </c>
    </row>
    <row r="11" spans="2:19" ht="7.5" customHeight="1" x14ac:dyDescent="0.3">
      <c r="B11" s="130"/>
      <c r="C11" s="137"/>
      <c r="D11" s="137"/>
      <c r="K11" s="134"/>
      <c r="L11" s="133"/>
    </row>
    <row r="12" spans="2:19" s="118" customFormat="1" x14ac:dyDescent="0.3">
      <c r="B12" s="95"/>
      <c r="C12" s="334" t="str">
        <f>IF(LangueChoisie=LangueFR,M12,N12)</f>
        <v>Le présent document n'est pas un bordereau de paiement.</v>
      </c>
      <c r="D12" s="334"/>
      <c r="E12" s="334"/>
      <c r="F12" s="334"/>
      <c r="G12" s="334"/>
      <c r="H12" s="334"/>
      <c r="I12" s="334"/>
      <c r="J12" s="334"/>
      <c r="K12" s="96"/>
      <c r="L12" s="97"/>
      <c r="M12" s="98" t="s">
        <v>94</v>
      </c>
      <c r="N12" s="98" t="s">
        <v>97</v>
      </c>
      <c r="O12" s="99"/>
      <c r="P12" s="99"/>
      <c r="Q12" s="99"/>
      <c r="R12" s="99"/>
      <c r="S12" s="99"/>
    </row>
    <row r="13" spans="2:19" s="118" customFormat="1" ht="3.75" customHeight="1" x14ac:dyDescent="0.3">
      <c r="B13" s="95"/>
      <c r="C13" s="136"/>
      <c r="D13" s="136"/>
      <c r="E13" s="136"/>
      <c r="F13" s="136"/>
      <c r="G13" s="136"/>
      <c r="H13" s="136"/>
      <c r="I13" s="136"/>
      <c r="J13" s="136"/>
      <c r="K13" s="96"/>
      <c r="L13" s="97"/>
      <c r="M13" s="98"/>
      <c r="N13" s="98"/>
      <c r="O13" s="99"/>
      <c r="P13" s="99"/>
      <c r="Q13" s="99"/>
      <c r="R13" s="99"/>
      <c r="S13" s="99"/>
    </row>
    <row r="14" spans="2:19" ht="48.75" customHeight="1" x14ac:dyDescent="0.3">
      <c r="B14" s="100"/>
      <c r="C14" s="335" t="str">
        <f>IF(LangueChoisie=LangueFR,M14,N14)</f>
        <v>Le bordereau nécessaire au paiement de la prime (si applicable) sera généré et déposé 
dans votre boîte de messagerie sécurisée quelques jours après la réception votre déclaration. Veuillez transmettre votre paiement à l'adresse générale de l'Autorité indiquée sur le bordereau.</v>
      </c>
      <c r="D14" s="335"/>
      <c r="E14" s="335"/>
      <c r="F14" s="335"/>
      <c r="G14" s="335"/>
      <c r="H14" s="335"/>
      <c r="I14" s="335"/>
      <c r="J14" s="335"/>
      <c r="K14" s="10"/>
      <c r="L14" s="13"/>
      <c r="M14" s="119" t="s">
        <v>468</v>
      </c>
      <c r="N14" s="98" t="s">
        <v>469</v>
      </c>
    </row>
    <row r="15" spans="2:19" ht="3.75" customHeight="1" x14ac:dyDescent="0.3">
      <c r="B15" s="100"/>
      <c r="C15" s="135"/>
      <c r="D15" s="135"/>
      <c r="E15" s="135"/>
      <c r="F15" s="135"/>
      <c r="G15" s="135"/>
      <c r="H15" s="135"/>
      <c r="I15" s="135"/>
      <c r="J15" s="135"/>
      <c r="K15" s="10"/>
      <c r="L15" s="13"/>
      <c r="M15" s="119"/>
      <c r="N15" s="98"/>
    </row>
    <row r="16" spans="2:19" ht="35.25" customHeight="1" x14ac:dyDescent="0.3">
      <c r="B16" s="100"/>
      <c r="C16" s="333" t="str">
        <f>IF(LangueChoisie=LangueFR,M16,N16)</f>
        <v>Afin de vous assurer que votre paiement parvienne à l'Autorité avant la date limite
du 15 juillet, veuillez prévoir le temps nécessaire à la génération du bordereau ainsi qu'à la 
transmission du paiement.</v>
      </c>
      <c r="D16" s="333"/>
      <c r="E16" s="333"/>
      <c r="F16" s="333"/>
      <c r="G16" s="333"/>
      <c r="H16" s="333"/>
      <c r="I16" s="333"/>
      <c r="J16" s="333"/>
      <c r="K16" s="10"/>
      <c r="L16" s="13"/>
      <c r="M16" s="119" t="s">
        <v>842</v>
      </c>
      <c r="N16" s="98" t="s">
        <v>832</v>
      </c>
    </row>
    <row r="17" spans="2:14" ht="3.75" customHeight="1" x14ac:dyDescent="0.3">
      <c r="B17" s="100"/>
      <c r="C17" s="179"/>
      <c r="D17" s="179"/>
      <c r="E17" s="179"/>
      <c r="F17" s="179"/>
      <c r="G17" s="179"/>
      <c r="H17" s="179"/>
      <c r="I17" s="179"/>
      <c r="J17" s="179"/>
      <c r="K17" s="10"/>
      <c r="L17" s="13"/>
      <c r="M17" s="119"/>
      <c r="N17" s="98"/>
    </row>
    <row r="18" spans="2:14" x14ac:dyDescent="0.3">
      <c r="B18" s="100"/>
      <c r="C18" s="333" t="str">
        <f>IF(LangueChoisie=LangueFR,M18,N18)</f>
        <v>Les chèques doivent être faits à l'ordre de l'Autorité des marchés financiers.</v>
      </c>
      <c r="D18" s="333"/>
      <c r="E18" s="333"/>
      <c r="F18" s="333"/>
      <c r="G18" s="333"/>
      <c r="H18" s="333"/>
      <c r="I18" s="333"/>
      <c r="J18" s="333"/>
      <c r="K18" s="10"/>
      <c r="L18" s="13"/>
      <c r="M18" s="119" t="s">
        <v>830</v>
      </c>
      <c r="N18" s="98" t="s">
        <v>831</v>
      </c>
    </row>
    <row r="19" spans="2:14" x14ac:dyDescent="0.3">
      <c r="B19" s="262"/>
      <c r="C19" s="263"/>
      <c r="D19" s="263"/>
      <c r="E19" s="263"/>
      <c r="F19" s="263"/>
      <c r="G19" s="263"/>
      <c r="H19" s="263"/>
      <c r="I19" s="263"/>
      <c r="J19" s="263"/>
      <c r="K19" s="264"/>
      <c r="L19" s="81"/>
    </row>
    <row r="25" spans="2:14" x14ac:dyDescent="0.3">
      <c r="C25" s="72"/>
    </row>
  </sheetData>
  <sheetProtection algorithmName="SHA-512" hashValue="WiDseTxaP3cvO4RdvO4LA499Y0enzI1fY25MdMCtQZaxR6zmoFkyt2Qx1ObhVKI+J91tOomlLdCPPJNnCa0wmQ==" saltValue="NeLdjZXK+5JekrvqheTfIA==" spinCount="100000" sheet="1" objects="1" scenarios="1"/>
  <mergeCells count="12">
    <mergeCell ref="B1:K1"/>
    <mergeCell ref="B2:K2"/>
    <mergeCell ref="H3:I3"/>
    <mergeCell ref="C4:D4"/>
    <mergeCell ref="C6:D6"/>
    <mergeCell ref="C8:D8"/>
    <mergeCell ref="C16:J16"/>
    <mergeCell ref="C12:J12"/>
    <mergeCell ref="C14:J14"/>
    <mergeCell ref="B19:K19"/>
    <mergeCell ref="C10:D10"/>
    <mergeCell ref="C18:J18"/>
  </mergeCells>
  <pageMargins left="0.70866141732283505" right="0.70866141732283505" top="0.74803149606299202" bottom="0.74803149606299202" header="0.31496062992126" footer="0.31496062992126"/>
  <pageSetup orientation="portrait" r:id="rId1"/>
  <headerFooter>
    <oddFooter>&amp;LAutorité des marchés financiers&amp;CDDG - 5.0&amp;RPage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Validation">
    <pageSetUpPr fitToPage="1"/>
  </sheetPr>
  <dimension ref="A1:K240"/>
  <sheetViews>
    <sheetView workbookViewId="0">
      <pane ySplit="1" topLeftCell="A2" activePane="bottomLeft" state="frozen"/>
      <selection pane="bottomLeft" activeCell="A2" sqref="A2"/>
    </sheetView>
  </sheetViews>
  <sheetFormatPr baseColWidth="10" defaultColWidth="0" defaultRowHeight="12" x14ac:dyDescent="0.25"/>
  <cols>
    <col min="1" max="1" width="4.109375" style="185" customWidth="1"/>
    <col min="2" max="2" width="108" style="167" customWidth="1"/>
    <col min="3" max="3" width="10.88671875" style="238" hidden="1" customWidth="1"/>
    <col min="4" max="4" width="16" style="160" customWidth="1"/>
    <col min="5" max="5" width="16" style="161" customWidth="1"/>
    <col min="6" max="6" width="8" style="159" customWidth="1"/>
    <col min="7" max="7" width="11.33203125" style="225" hidden="1" customWidth="1"/>
    <col min="8" max="8" width="126" style="223" hidden="1" customWidth="1"/>
    <col min="9" max="9" width="106.88671875" style="223" hidden="1" customWidth="1"/>
    <col min="10" max="10" width="11" style="233" bestFit="1" customWidth="1"/>
    <col min="11" max="11" width="0" style="156" hidden="1" customWidth="1"/>
    <col min="12" max="16384" width="11.44140625" style="156" hidden="1"/>
  </cols>
  <sheetData>
    <row r="1" spans="1:10" s="234" customFormat="1" ht="60" x14ac:dyDescent="0.3">
      <c r="A1" s="184" t="s">
        <v>184</v>
      </c>
      <c r="B1" s="166" t="s">
        <v>185</v>
      </c>
      <c r="C1" s="231" t="s">
        <v>99</v>
      </c>
      <c r="D1" s="141" t="s">
        <v>187</v>
      </c>
      <c r="E1" s="142" t="s">
        <v>188</v>
      </c>
      <c r="F1" s="141" t="s">
        <v>189</v>
      </c>
      <c r="G1" s="224" t="s">
        <v>190</v>
      </c>
      <c r="H1" s="224" t="s">
        <v>98</v>
      </c>
      <c r="I1" s="224" t="s">
        <v>99</v>
      </c>
      <c r="J1" s="231" t="s">
        <v>186</v>
      </c>
    </row>
    <row r="2" spans="1:10" x14ac:dyDescent="0.25">
      <c r="A2" s="185" t="s">
        <v>470</v>
      </c>
      <c r="B2" s="168" t="str">
        <f>IF(LangueChoisie=LangueFR,H2,I2)</f>
        <v>Le nom de l'institution est obligatoire (Identification-010)</v>
      </c>
      <c r="C2" s="238" t="s">
        <v>326</v>
      </c>
      <c r="D2" s="143">
        <f>LEN(Identification!E13)</f>
        <v>0</v>
      </c>
      <c r="E2" s="143">
        <v>0</v>
      </c>
      <c r="F2" s="144">
        <f>IF(D2=E2,1,0)</f>
        <v>1</v>
      </c>
      <c r="G2" s="225" t="s">
        <v>191</v>
      </c>
      <c r="H2" s="223" t="s">
        <v>170</v>
      </c>
      <c r="I2" s="223" t="s">
        <v>326</v>
      </c>
      <c r="J2" s="157" t="s">
        <v>192</v>
      </c>
    </row>
    <row r="3" spans="1:10" x14ac:dyDescent="0.25">
      <c r="A3" s="185" t="s">
        <v>471</v>
      </c>
      <c r="B3" s="168" t="str">
        <f t="shared" ref="B3:B33" si="0">IF(LangueChoisie=LangueFR,H3,I3)</f>
        <v>La charte de l'institution est obligatoire (Identification-020)</v>
      </c>
      <c r="C3" s="238" t="s">
        <v>327</v>
      </c>
      <c r="D3" s="145">
        <f>LEN(Identification!E15)</f>
        <v>6</v>
      </c>
      <c r="E3" s="145">
        <v>0</v>
      </c>
      <c r="F3" s="146">
        <f>IF(D3=E3,1,0)</f>
        <v>0</v>
      </c>
      <c r="G3" s="225" t="s">
        <v>191</v>
      </c>
      <c r="H3" s="223" t="s">
        <v>171</v>
      </c>
      <c r="I3" s="223" t="s">
        <v>327</v>
      </c>
      <c r="J3" s="157" t="s">
        <v>193</v>
      </c>
    </row>
    <row r="4" spans="1:10" s="235" customFormat="1" x14ac:dyDescent="0.25">
      <c r="A4" s="194" t="s">
        <v>472</v>
      </c>
      <c r="B4" s="169" t="str">
        <f t="shared" si="0"/>
        <v>La déclaration doit être pour l'année en cours (Identification-030)</v>
      </c>
      <c r="C4" s="239" t="s">
        <v>328</v>
      </c>
      <c r="D4" s="147">
        <f>Identification!F17</f>
        <v>2024</v>
      </c>
      <c r="E4" s="148">
        <f ca="1">YEAR(TODAY())</f>
        <v>2024</v>
      </c>
      <c r="F4" s="149">
        <f t="shared" ref="F4:F14" ca="1" si="1">IF(D4=E4,0,1)</f>
        <v>0</v>
      </c>
      <c r="G4" s="226" t="s">
        <v>191</v>
      </c>
      <c r="H4" s="227" t="s">
        <v>172</v>
      </c>
      <c r="I4" s="227" t="s">
        <v>328</v>
      </c>
      <c r="J4" s="232" t="s">
        <v>194</v>
      </c>
    </row>
    <row r="5" spans="1:10" x14ac:dyDescent="0.25">
      <c r="A5" s="185" t="s">
        <v>473</v>
      </c>
      <c r="B5" s="168" t="str">
        <f t="shared" si="0"/>
        <v>Le résultat du calcul des dépôts reçus au Québec est incorrect (100-010-03)</v>
      </c>
      <c r="C5" s="240" t="s">
        <v>329</v>
      </c>
      <c r="D5" s="150">
        <f>'100'!J8</f>
        <v>0</v>
      </c>
      <c r="E5" s="150">
        <f>'100'!F8-'100'!H8</f>
        <v>0</v>
      </c>
      <c r="F5" s="146">
        <f t="shared" si="1"/>
        <v>0</v>
      </c>
      <c r="G5" s="225" t="s">
        <v>191</v>
      </c>
      <c r="H5" s="223" t="s">
        <v>112</v>
      </c>
      <c r="I5" s="228" t="s">
        <v>329</v>
      </c>
      <c r="J5" s="157">
        <v>10001003</v>
      </c>
    </row>
    <row r="6" spans="1:10" x14ac:dyDescent="0.25">
      <c r="A6" s="185" t="s">
        <v>474</v>
      </c>
      <c r="B6" s="168" t="str">
        <f t="shared" si="0"/>
        <v>Le résultat du calcul des dépôts non-assurables reçus au Québec est incorrect (100-020-03)</v>
      </c>
      <c r="C6" s="240" t="s">
        <v>330</v>
      </c>
      <c r="D6" s="150">
        <f>'100'!J11</f>
        <v>0</v>
      </c>
      <c r="E6" s="150">
        <f>'100'!F11-'100'!H11</f>
        <v>0</v>
      </c>
      <c r="F6" s="146">
        <f t="shared" si="1"/>
        <v>0</v>
      </c>
      <c r="G6" s="225" t="s">
        <v>191</v>
      </c>
      <c r="H6" s="223" t="s">
        <v>113</v>
      </c>
      <c r="I6" s="228" t="s">
        <v>330</v>
      </c>
      <c r="J6" s="157">
        <v>10002003</v>
      </c>
    </row>
    <row r="7" spans="1:10" x14ac:dyDescent="0.25">
      <c r="A7" s="185" t="s">
        <v>475</v>
      </c>
      <c r="B7" s="168" t="str">
        <f t="shared" si="0"/>
        <v>Le résultat du calcul du sous-total des dépôts assurables est incorrect (100-030-01)</v>
      </c>
      <c r="C7" s="240" t="s">
        <v>331</v>
      </c>
      <c r="D7" s="150">
        <f>'100'!F14</f>
        <v>0</v>
      </c>
      <c r="E7" s="150">
        <f>'100'!F8-'100'!F11</f>
        <v>0</v>
      </c>
      <c r="F7" s="146">
        <f t="shared" si="1"/>
        <v>0</v>
      </c>
      <c r="G7" s="225" t="s">
        <v>191</v>
      </c>
      <c r="H7" s="223" t="s">
        <v>114</v>
      </c>
      <c r="I7" s="228" t="s">
        <v>331</v>
      </c>
      <c r="J7" s="157">
        <v>10003001</v>
      </c>
    </row>
    <row r="8" spans="1:10" x14ac:dyDescent="0.25">
      <c r="A8" s="185" t="s">
        <v>476</v>
      </c>
      <c r="B8" s="168" t="str">
        <f t="shared" si="0"/>
        <v>Le résultat du calcul du sous-total des dépôts assurables reçus à l'extérieur du Québec est incorrect (100-030-02)</v>
      </c>
      <c r="C8" s="240" t="s">
        <v>332</v>
      </c>
      <c r="D8" s="150">
        <f>'100'!H14</f>
        <v>0</v>
      </c>
      <c r="E8" s="150">
        <f>'100'!H8-'100'!H11</f>
        <v>0</v>
      </c>
      <c r="F8" s="146">
        <f t="shared" si="1"/>
        <v>0</v>
      </c>
      <c r="G8" s="225" t="s">
        <v>191</v>
      </c>
      <c r="H8" s="223" t="s">
        <v>115</v>
      </c>
      <c r="I8" s="228" t="s">
        <v>332</v>
      </c>
      <c r="J8" s="157">
        <v>10003002</v>
      </c>
    </row>
    <row r="9" spans="1:10" x14ac:dyDescent="0.25">
      <c r="A9" s="185" t="s">
        <v>477</v>
      </c>
      <c r="B9" s="168" t="str">
        <f t="shared" si="0"/>
        <v>Le résultat du calcul du sous-total des dépôts assurables reçus au Québec est incorrect (100-030-03)</v>
      </c>
      <c r="C9" s="240" t="s">
        <v>333</v>
      </c>
      <c r="D9" s="150">
        <f>'100'!J14</f>
        <v>0</v>
      </c>
      <c r="E9" s="150">
        <f>'100'!J8-'100'!J11</f>
        <v>0</v>
      </c>
      <c r="F9" s="146">
        <f t="shared" si="1"/>
        <v>0</v>
      </c>
      <c r="G9" s="225" t="s">
        <v>191</v>
      </c>
      <c r="H9" s="223" t="s">
        <v>116</v>
      </c>
      <c r="I9" s="228" t="s">
        <v>333</v>
      </c>
      <c r="J9" s="157">
        <v>10003003</v>
      </c>
    </row>
    <row r="10" spans="1:10" x14ac:dyDescent="0.25">
      <c r="A10" s="185" t="s">
        <v>478</v>
      </c>
      <c r="B10" s="168" t="str">
        <f t="shared" si="0"/>
        <v>Le résultat du calcul du montant excédant 100 000$ par personne est incorrect (100-040-03)</v>
      </c>
      <c r="C10" s="240" t="s">
        <v>334</v>
      </c>
      <c r="D10" s="150">
        <f>'100'!J17</f>
        <v>0</v>
      </c>
      <c r="E10" s="150">
        <f>'100'!F17-'100'!H17</f>
        <v>0</v>
      </c>
      <c r="F10" s="146">
        <f t="shared" si="1"/>
        <v>0</v>
      </c>
      <c r="G10" s="225" t="s">
        <v>191</v>
      </c>
      <c r="H10" s="223" t="s">
        <v>117</v>
      </c>
      <c r="I10" s="228" t="s">
        <v>334</v>
      </c>
      <c r="J10" s="157">
        <v>10004003</v>
      </c>
    </row>
    <row r="11" spans="1:10" x14ac:dyDescent="0.25">
      <c r="A11" s="185" t="s">
        <v>8</v>
      </c>
      <c r="B11" s="168" t="str">
        <f t="shared" si="0"/>
        <v>Le résultat du calcul du total des dépôts garantis est incorrect (100-050-01)</v>
      </c>
      <c r="C11" s="240" t="s">
        <v>335</v>
      </c>
      <c r="D11" s="150">
        <f>'100'!F20</f>
        <v>0</v>
      </c>
      <c r="E11" s="150">
        <f>'100'!F14-'100'!F17</f>
        <v>0</v>
      </c>
      <c r="F11" s="146">
        <f t="shared" si="1"/>
        <v>0</v>
      </c>
      <c r="G11" s="225" t="s">
        <v>191</v>
      </c>
      <c r="H11" s="223" t="s">
        <v>118</v>
      </c>
      <c r="I11" s="228" t="s">
        <v>335</v>
      </c>
      <c r="J11" s="157">
        <v>10005001</v>
      </c>
    </row>
    <row r="12" spans="1:10" x14ac:dyDescent="0.25">
      <c r="A12" s="185" t="s">
        <v>479</v>
      </c>
      <c r="B12" s="168" t="str">
        <f t="shared" si="0"/>
        <v>Le résultat du calcul du total des dépôts garantis reçus à l'extérieur du Québec est incorrect (100-050-02)</v>
      </c>
      <c r="C12" s="240" t="s">
        <v>336</v>
      </c>
      <c r="D12" s="150">
        <f>'100'!H20</f>
        <v>0</v>
      </c>
      <c r="E12" s="150">
        <f>'100'!H14-'100'!H17</f>
        <v>0</v>
      </c>
      <c r="F12" s="146">
        <f t="shared" si="1"/>
        <v>0</v>
      </c>
      <c r="G12" s="225" t="s">
        <v>191</v>
      </c>
      <c r="H12" s="223" t="s">
        <v>119</v>
      </c>
      <c r="I12" s="228" t="s">
        <v>336</v>
      </c>
      <c r="J12" s="157">
        <v>10005002</v>
      </c>
    </row>
    <row r="13" spans="1:10" x14ac:dyDescent="0.25">
      <c r="A13" s="185" t="s">
        <v>480</v>
      </c>
      <c r="B13" s="168" t="str">
        <f t="shared" si="0"/>
        <v>Le résultat du calcul du total des dépôts garantis reçus au Québec est incorrect (100-050-03)</v>
      </c>
      <c r="C13" s="240" t="s">
        <v>337</v>
      </c>
      <c r="D13" s="150">
        <f>'100'!J20</f>
        <v>0</v>
      </c>
      <c r="E13" s="150">
        <f>'100'!J14-'100'!J17</f>
        <v>0</v>
      </c>
      <c r="F13" s="146">
        <f t="shared" si="1"/>
        <v>0</v>
      </c>
      <c r="G13" s="225" t="s">
        <v>191</v>
      </c>
      <c r="H13" s="223" t="s">
        <v>120</v>
      </c>
      <c r="I13" s="228" t="s">
        <v>337</v>
      </c>
      <c r="J13" s="157">
        <v>10005003</v>
      </c>
    </row>
    <row r="14" spans="1:10" x14ac:dyDescent="0.25">
      <c r="A14" s="185" t="s">
        <v>481</v>
      </c>
      <c r="B14" s="168" t="str">
        <f t="shared" si="0"/>
        <v>Le résultat du calcul de la prime payable (annexe 100) est incorrect (100-060-03)</v>
      </c>
      <c r="C14" s="240" t="s">
        <v>338</v>
      </c>
      <c r="D14" s="150">
        <f>'100'!J23</f>
        <v>5000</v>
      </c>
      <c r="E14" s="150">
        <f>IF(_Ident020=CharteCAN,0,IF(TauxPrime*_10005003&lt;SeuilMinimal,SeuilMinimal,TauxPrime*_10005003))</f>
        <v>5000</v>
      </c>
      <c r="F14" s="146">
        <f t="shared" si="1"/>
        <v>0</v>
      </c>
      <c r="G14" s="225" t="s">
        <v>191</v>
      </c>
      <c r="H14" s="223" t="s">
        <v>121</v>
      </c>
      <c r="I14" s="228" t="s">
        <v>338</v>
      </c>
      <c r="J14" s="157">
        <v>10006003</v>
      </c>
    </row>
    <row r="15" spans="1:10" x14ac:dyDescent="0.25">
      <c r="A15" s="185" t="s">
        <v>482</v>
      </c>
      <c r="B15" s="168" t="str">
        <f t="shared" si="0"/>
        <v>Le champ 100-010-01 est obligatoire (indiquer 0 si nul)</v>
      </c>
      <c r="C15" s="240" t="s">
        <v>339</v>
      </c>
      <c r="D15" s="151">
        <f>LEN('100'!F8)</f>
        <v>0</v>
      </c>
      <c r="E15" s="151">
        <v>0</v>
      </c>
      <c r="F15" s="152">
        <f t="shared" ref="F15:F20" si="2">IF(D15=E15,1,0)</f>
        <v>1</v>
      </c>
      <c r="G15" s="225" t="s">
        <v>191</v>
      </c>
      <c r="H15" s="228" t="s">
        <v>263</v>
      </c>
      <c r="I15" s="228" t="s">
        <v>339</v>
      </c>
      <c r="J15" s="157">
        <v>10001001</v>
      </c>
    </row>
    <row r="16" spans="1:10" x14ac:dyDescent="0.25">
      <c r="A16" s="185" t="s">
        <v>483</v>
      </c>
      <c r="B16" s="168" t="str">
        <f t="shared" si="0"/>
        <v>Le champ 100-010-02 est obligatoire (indiquer 0 si nul)</v>
      </c>
      <c r="C16" s="240" t="s">
        <v>340</v>
      </c>
      <c r="D16" s="151">
        <f>LEN('100'!H8)</f>
        <v>0</v>
      </c>
      <c r="E16" s="151">
        <v>0</v>
      </c>
      <c r="F16" s="152">
        <f t="shared" si="2"/>
        <v>1</v>
      </c>
      <c r="G16" s="225" t="s">
        <v>191</v>
      </c>
      <c r="H16" s="228" t="s">
        <v>264</v>
      </c>
      <c r="I16" s="228" t="s">
        <v>340</v>
      </c>
      <c r="J16" s="157">
        <v>10001002</v>
      </c>
    </row>
    <row r="17" spans="1:10" x14ac:dyDescent="0.25">
      <c r="A17" s="185" t="s">
        <v>484</v>
      </c>
      <c r="B17" s="168" t="str">
        <f t="shared" si="0"/>
        <v>Le champ 100-020-01 est obligatoire (indiquer 0 si nul)</v>
      </c>
      <c r="C17" s="240" t="s">
        <v>341</v>
      </c>
      <c r="D17" s="151">
        <f>LEN('100'!F11)</f>
        <v>0</v>
      </c>
      <c r="E17" s="151">
        <v>0</v>
      </c>
      <c r="F17" s="152">
        <f t="shared" si="2"/>
        <v>1</v>
      </c>
      <c r="G17" s="225" t="s">
        <v>191</v>
      </c>
      <c r="H17" s="228" t="s">
        <v>265</v>
      </c>
      <c r="I17" s="228" t="s">
        <v>341</v>
      </c>
      <c r="J17" s="157">
        <v>10002001</v>
      </c>
    </row>
    <row r="18" spans="1:10" x14ac:dyDescent="0.25">
      <c r="A18" s="185" t="s">
        <v>485</v>
      </c>
      <c r="B18" s="168" t="str">
        <f t="shared" si="0"/>
        <v>Le champ 100-020-02 est obligatoire (indiquer 0 si nul)</v>
      </c>
      <c r="C18" s="240" t="s">
        <v>342</v>
      </c>
      <c r="D18" s="151">
        <f>LEN('100'!H11)</f>
        <v>0</v>
      </c>
      <c r="E18" s="151">
        <v>0</v>
      </c>
      <c r="F18" s="152">
        <f t="shared" si="2"/>
        <v>1</v>
      </c>
      <c r="G18" s="225" t="s">
        <v>191</v>
      </c>
      <c r="H18" s="228" t="s">
        <v>266</v>
      </c>
      <c r="I18" s="228" t="s">
        <v>342</v>
      </c>
      <c r="J18" s="157">
        <v>10002002</v>
      </c>
    </row>
    <row r="19" spans="1:10" x14ac:dyDescent="0.25">
      <c r="A19" s="185" t="s">
        <v>486</v>
      </c>
      <c r="B19" s="168" t="str">
        <f t="shared" si="0"/>
        <v>Le champ 100-040-01 est obligatoire (indiquer 0 si nul)</v>
      </c>
      <c r="C19" s="240" t="s">
        <v>343</v>
      </c>
      <c r="D19" s="151">
        <f>LEN('100'!F17)</f>
        <v>0</v>
      </c>
      <c r="E19" s="151">
        <v>0</v>
      </c>
      <c r="F19" s="152">
        <f t="shared" si="2"/>
        <v>1</v>
      </c>
      <c r="G19" s="225" t="s">
        <v>191</v>
      </c>
      <c r="H19" s="228" t="s">
        <v>267</v>
      </c>
      <c r="I19" s="228" t="s">
        <v>343</v>
      </c>
      <c r="J19" s="157">
        <v>10004001</v>
      </c>
    </row>
    <row r="20" spans="1:10" x14ac:dyDescent="0.25">
      <c r="A20" s="185" t="s">
        <v>487</v>
      </c>
      <c r="B20" s="168" t="str">
        <f t="shared" si="0"/>
        <v>Le champ 100-040-02 est obligatoire (indiquer 0 si nul)</v>
      </c>
      <c r="C20" s="240" t="s">
        <v>344</v>
      </c>
      <c r="D20" s="151">
        <f>LEN('100'!H17)</f>
        <v>0</v>
      </c>
      <c r="E20" s="151">
        <v>0</v>
      </c>
      <c r="F20" s="152">
        <f t="shared" si="2"/>
        <v>1</v>
      </c>
      <c r="G20" s="225" t="s">
        <v>191</v>
      </c>
      <c r="H20" s="228" t="s">
        <v>268</v>
      </c>
      <c r="I20" s="228" t="s">
        <v>344</v>
      </c>
      <c r="J20" s="157">
        <v>10004002</v>
      </c>
    </row>
    <row r="21" spans="1:10" x14ac:dyDescent="0.25">
      <c r="A21" s="185" t="s">
        <v>9</v>
      </c>
      <c r="B21" s="168" t="str">
        <f t="shared" si="0"/>
        <v>Le champ 100-010-01 doit être ≥ 0</v>
      </c>
      <c r="C21" s="240" t="s">
        <v>345</v>
      </c>
      <c r="D21" s="151">
        <f>'100'!F8</f>
        <v>0</v>
      </c>
      <c r="E21" s="151">
        <v>0</v>
      </c>
      <c r="F21" s="152">
        <f t="shared" ref="F21:F26" si="3">IF(D21&gt;=E21,0,1)</f>
        <v>0</v>
      </c>
      <c r="G21" s="225" t="s">
        <v>191</v>
      </c>
      <c r="H21" s="228" t="s">
        <v>100</v>
      </c>
      <c r="I21" s="228" t="s">
        <v>345</v>
      </c>
      <c r="J21" s="157">
        <v>10001001</v>
      </c>
    </row>
    <row r="22" spans="1:10" x14ac:dyDescent="0.25">
      <c r="A22" s="185" t="s">
        <v>488</v>
      </c>
      <c r="B22" s="168" t="str">
        <f t="shared" si="0"/>
        <v>Le champ 100-010-02 doit être ≥ 0</v>
      </c>
      <c r="C22" s="240" t="s">
        <v>346</v>
      </c>
      <c r="D22" s="151">
        <f>'100'!H8</f>
        <v>0</v>
      </c>
      <c r="E22" s="151">
        <v>0</v>
      </c>
      <c r="F22" s="152">
        <f t="shared" si="3"/>
        <v>0</v>
      </c>
      <c r="G22" s="225" t="s">
        <v>191</v>
      </c>
      <c r="H22" s="228" t="s">
        <v>101</v>
      </c>
      <c r="I22" s="228" t="s">
        <v>346</v>
      </c>
      <c r="J22" s="157">
        <v>10001002</v>
      </c>
    </row>
    <row r="23" spans="1:10" x14ac:dyDescent="0.25">
      <c r="A23" s="185" t="s">
        <v>489</v>
      </c>
      <c r="B23" s="168" t="str">
        <f t="shared" si="0"/>
        <v>Le champ 100-020-01 doit être ≥ 0</v>
      </c>
      <c r="C23" s="240" t="s">
        <v>347</v>
      </c>
      <c r="D23" s="151">
        <f>'100'!F11</f>
        <v>0</v>
      </c>
      <c r="E23" s="151">
        <v>0</v>
      </c>
      <c r="F23" s="152">
        <f t="shared" si="3"/>
        <v>0</v>
      </c>
      <c r="G23" s="225" t="s">
        <v>191</v>
      </c>
      <c r="H23" s="228" t="s">
        <v>102</v>
      </c>
      <c r="I23" s="228" t="s">
        <v>347</v>
      </c>
      <c r="J23" s="157">
        <v>10002001</v>
      </c>
    </row>
    <row r="24" spans="1:10" x14ac:dyDescent="0.25">
      <c r="A24" s="185" t="s">
        <v>490</v>
      </c>
      <c r="B24" s="168" t="str">
        <f t="shared" si="0"/>
        <v>Le champ 100-020-02 doit être ≥ 0</v>
      </c>
      <c r="C24" s="240" t="s">
        <v>348</v>
      </c>
      <c r="D24" s="151">
        <f>'100'!H11</f>
        <v>0</v>
      </c>
      <c r="E24" s="151">
        <v>0</v>
      </c>
      <c r="F24" s="152">
        <f t="shared" si="3"/>
        <v>0</v>
      </c>
      <c r="G24" s="225" t="s">
        <v>191</v>
      </c>
      <c r="H24" s="228" t="s">
        <v>103</v>
      </c>
      <c r="I24" s="228" t="s">
        <v>348</v>
      </c>
      <c r="J24" s="157">
        <v>10002002</v>
      </c>
    </row>
    <row r="25" spans="1:10" x14ac:dyDescent="0.25">
      <c r="A25" s="185" t="s">
        <v>491</v>
      </c>
      <c r="B25" s="168" t="str">
        <f t="shared" si="0"/>
        <v>Le champ 100-040-01 doit être ≥ 0</v>
      </c>
      <c r="C25" s="240" t="s">
        <v>349</v>
      </c>
      <c r="D25" s="151">
        <f>'100'!F17</f>
        <v>0</v>
      </c>
      <c r="E25" s="151">
        <v>0</v>
      </c>
      <c r="F25" s="152">
        <f t="shared" si="3"/>
        <v>0</v>
      </c>
      <c r="G25" s="225" t="s">
        <v>191</v>
      </c>
      <c r="H25" s="228" t="s">
        <v>104</v>
      </c>
      <c r="I25" s="228" t="s">
        <v>349</v>
      </c>
      <c r="J25" s="157">
        <v>10004001</v>
      </c>
    </row>
    <row r="26" spans="1:10" x14ac:dyDescent="0.25">
      <c r="A26" s="185" t="s">
        <v>492</v>
      </c>
      <c r="B26" s="168" t="str">
        <f t="shared" si="0"/>
        <v>Le champ 100-040-02 doit être ≥ 0</v>
      </c>
      <c r="C26" s="240" t="s">
        <v>350</v>
      </c>
      <c r="D26" s="151">
        <f>'100'!H17</f>
        <v>0</v>
      </c>
      <c r="E26" s="151">
        <v>0</v>
      </c>
      <c r="F26" s="152">
        <f t="shared" si="3"/>
        <v>0</v>
      </c>
      <c r="G26" s="225" t="s">
        <v>191</v>
      </c>
      <c r="H26" s="228" t="s">
        <v>105</v>
      </c>
      <c r="I26" s="228" t="s">
        <v>350</v>
      </c>
      <c r="J26" s="157">
        <v>10004002</v>
      </c>
    </row>
    <row r="27" spans="1:10" x14ac:dyDescent="0.25">
      <c r="A27" s="185" t="s">
        <v>493</v>
      </c>
      <c r="B27" s="168" t="str">
        <f t="shared" si="0"/>
        <v>Le champ 100-010-02 doit être ≤ à 100-010-01</v>
      </c>
      <c r="C27" s="240" t="s">
        <v>351</v>
      </c>
      <c r="D27" s="151">
        <f>'100'!H8</f>
        <v>0</v>
      </c>
      <c r="E27" s="151">
        <f>'100'!F8</f>
        <v>0</v>
      </c>
      <c r="F27" s="152">
        <f t="shared" ref="F27:F32" si="4">IF(D27&lt;=E27,0,1)</f>
        <v>0</v>
      </c>
      <c r="G27" s="225" t="s">
        <v>191</v>
      </c>
      <c r="H27" s="228" t="s">
        <v>106</v>
      </c>
      <c r="I27" s="228" t="s">
        <v>351</v>
      </c>
      <c r="J27" s="157">
        <v>10001002</v>
      </c>
    </row>
    <row r="28" spans="1:10" x14ac:dyDescent="0.25">
      <c r="A28" s="185" t="s">
        <v>494</v>
      </c>
      <c r="B28" s="168" t="str">
        <f t="shared" si="0"/>
        <v>Le champ 100-020-01 doit être ≤ à 100-010-01</v>
      </c>
      <c r="C28" s="240" t="s">
        <v>352</v>
      </c>
      <c r="D28" s="151">
        <f>'100'!F11</f>
        <v>0</v>
      </c>
      <c r="E28" s="151">
        <f>'100'!F8</f>
        <v>0</v>
      </c>
      <c r="F28" s="152">
        <f t="shared" si="4"/>
        <v>0</v>
      </c>
      <c r="G28" s="225" t="s">
        <v>191</v>
      </c>
      <c r="H28" s="228" t="s">
        <v>108</v>
      </c>
      <c r="I28" s="228" t="s">
        <v>352</v>
      </c>
      <c r="J28" s="157">
        <v>10002001</v>
      </c>
    </row>
    <row r="29" spans="1:10" x14ac:dyDescent="0.25">
      <c r="A29" s="185" t="s">
        <v>495</v>
      </c>
      <c r="B29" s="168" t="str">
        <f t="shared" si="0"/>
        <v>Le champ 100-020-02 doit être ≤ à 100-010-02</v>
      </c>
      <c r="C29" s="240" t="s">
        <v>353</v>
      </c>
      <c r="D29" s="151">
        <f>'100'!H11</f>
        <v>0</v>
      </c>
      <c r="E29" s="151">
        <f>'100'!H8</f>
        <v>0</v>
      </c>
      <c r="F29" s="152">
        <f t="shared" si="4"/>
        <v>0</v>
      </c>
      <c r="G29" s="225" t="s">
        <v>191</v>
      </c>
      <c r="H29" s="228" t="s">
        <v>107</v>
      </c>
      <c r="I29" s="228" t="s">
        <v>353</v>
      </c>
      <c r="J29" s="157">
        <v>10002002</v>
      </c>
    </row>
    <row r="30" spans="1:10" x14ac:dyDescent="0.25">
      <c r="A30" s="185" t="s">
        <v>496</v>
      </c>
      <c r="B30" s="168" t="str">
        <f t="shared" si="0"/>
        <v>Le champ 100-040-01 doit être ≤ à 100-030-01</v>
      </c>
      <c r="C30" s="240" t="s">
        <v>354</v>
      </c>
      <c r="D30" s="151">
        <f>'100'!F17</f>
        <v>0</v>
      </c>
      <c r="E30" s="151">
        <f>'100'!F14</f>
        <v>0</v>
      </c>
      <c r="F30" s="152">
        <f t="shared" si="4"/>
        <v>0</v>
      </c>
      <c r="G30" s="225" t="s">
        <v>191</v>
      </c>
      <c r="H30" s="228" t="s">
        <v>109</v>
      </c>
      <c r="I30" s="228" t="s">
        <v>354</v>
      </c>
      <c r="J30" s="157">
        <v>10004001</v>
      </c>
    </row>
    <row r="31" spans="1:10" x14ac:dyDescent="0.25">
      <c r="A31" s="185" t="s">
        <v>10</v>
      </c>
      <c r="B31" s="168" t="str">
        <f t="shared" si="0"/>
        <v>Le champ 100-040-02 doit être ≤ à 100-030-02</v>
      </c>
      <c r="C31" s="240" t="s">
        <v>355</v>
      </c>
      <c r="D31" s="151">
        <f>'100'!H17</f>
        <v>0</v>
      </c>
      <c r="E31" s="151">
        <f>'100'!H14</f>
        <v>0</v>
      </c>
      <c r="F31" s="152">
        <f t="shared" si="4"/>
        <v>0</v>
      </c>
      <c r="G31" s="225" t="s">
        <v>191</v>
      </c>
      <c r="H31" s="228" t="s">
        <v>110</v>
      </c>
      <c r="I31" s="228" t="s">
        <v>355</v>
      </c>
      <c r="J31" s="157">
        <v>10004002</v>
      </c>
    </row>
    <row r="32" spans="1:10" s="235" customFormat="1" x14ac:dyDescent="0.25">
      <c r="A32" s="194" t="s">
        <v>73</v>
      </c>
      <c r="B32" s="169" t="str">
        <f t="shared" si="0"/>
        <v>Le champ 100-040-02 doit être ≤ à 100-040-01</v>
      </c>
      <c r="C32" s="241" t="s">
        <v>356</v>
      </c>
      <c r="D32" s="153">
        <f>'100'!H17</f>
        <v>0</v>
      </c>
      <c r="E32" s="153">
        <f>'100'!F17</f>
        <v>0</v>
      </c>
      <c r="F32" s="154">
        <f t="shared" si="4"/>
        <v>0</v>
      </c>
      <c r="G32" s="226" t="s">
        <v>191</v>
      </c>
      <c r="H32" s="229" t="s">
        <v>111</v>
      </c>
      <c r="I32" s="229" t="s">
        <v>356</v>
      </c>
      <c r="J32" s="232">
        <v>10004002</v>
      </c>
    </row>
    <row r="33" spans="1:10" x14ac:dyDescent="0.25">
      <c r="A33" s="185" t="s">
        <v>74</v>
      </c>
      <c r="B33" s="168" t="str">
        <f t="shared" si="0"/>
        <v>L'addition des garanties de base donne un résultat incorrect (200-010-03)</v>
      </c>
      <c r="C33" s="240" t="s">
        <v>357</v>
      </c>
      <c r="D33" s="150">
        <f>'200'!H9</f>
        <v>0</v>
      </c>
      <c r="E33" s="150">
        <f>'200'!F9+'200'!G9</f>
        <v>0</v>
      </c>
      <c r="F33" s="146">
        <f>IF(D33=E33,0,1)</f>
        <v>0</v>
      </c>
      <c r="G33" s="225" t="s">
        <v>191</v>
      </c>
      <c r="H33" s="228" t="s">
        <v>122</v>
      </c>
      <c r="I33" s="228" t="s">
        <v>357</v>
      </c>
      <c r="J33" s="157">
        <v>20001003</v>
      </c>
    </row>
    <row r="34" spans="1:10" x14ac:dyDescent="0.25">
      <c r="A34" s="185" t="s">
        <v>75</v>
      </c>
      <c r="B34" s="168" t="str">
        <f t="shared" ref="B34:B125" si="5">IF(LangueChoisie=LangueFR,H34,I34)</f>
        <v>L'addition des dépôts conjoints donne un résultat incorrect (200-020-03)</v>
      </c>
      <c r="C34" s="240" t="s">
        <v>358</v>
      </c>
      <c r="D34" s="150">
        <f>'200'!H11</f>
        <v>0</v>
      </c>
      <c r="E34" s="150">
        <f>'200'!F11+'200'!G11</f>
        <v>0</v>
      </c>
      <c r="F34" s="146">
        <f>IF(D34=E34,0,1)</f>
        <v>0</v>
      </c>
      <c r="G34" s="225" t="s">
        <v>191</v>
      </c>
      <c r="H34" s="228" t="s">
        <v>123</v>
      </c>
      <c r="I34" s="228" t="s">
        <v>358</v>
      </c>
      <c r="J34" s="157">
        <v>20002003</v>
      </c>
    </row>
    <row r="35" spans="1:10" x14ac:dyDescent="0.25">
      <c r="A35" s="185" t="s">
        <v>497</v>
      </c>
      <c r="B35" s="168" t="str">
        <f t="shared" si="5"/>
        <v>L'addition des dépôts en fiducie retourne un résultat incorrect (200-030-03)</v>
      </c>
      <c r="C35" s="240" t="s">
        <v>359</v>
      </c>
      <c r="D35" s="150">
        <f>'200'!H13</f>
        <v>0</v>
      </c>
      <c r="E35" s="150">
        <f>'200'!F13+'200'!G13</f>
        <v>0</v>
      </c>
      <c r="F35" s="146">
        <f>IF(D35=E35,0,1)</f>
        <v>0</v>
      </c>
      <c r="G35" s="225" t="s">
        <v>191</v>
      </c>
      <c r="H35" s="228" t="s">
        <v>124</v>
      </c>
      <c r="I35" s="228" t="s">
        <v>359</v>
      </c>
      <c r="J35" s="157">
        <v>20003003</v>
      </c>
    </row>
    <row r="36" spans="1:10" x14ac:dyDescent="0.25">
      <c r="A36" s="185" t="s">
        <v>498</v>
      </c>
      <c r="B36" s="168" t="str">
        <f t="shared" si="5"/>
        <v>Le choix du type de déposants en fiducie ne peux pas être "Non applicable" si un nombre de déposants en fiducie est saisi</v>
      </c>
      <c r="C36" s="240" t="s">
        <v>360</v>
      </c>
      <c r="D36" s="155">
        <f>'200'!K13</f>
        <v>0</v>
      </c>
      <c r="E36" s="145">
        <f>'200'!P47</f>
        <v>4</v>
      </c>
      <c r="F36" s="146">
        <f>IF(AND(E36=4,D36&gt;0),1,0)</f>
        <v>0</v>
      </c>
      <c r="G36" s="225" t="s">
        <v>191</v>
      </c>
      <c r="H36" s="228" t="s">
        <v>179</v>
      </c>
      <c r="I36" s="228" t="s">
        <v>360</v>
      </c>
      <c r="J36" s="157">
        <v>20003004</v>
      </c>
    </row>
    <row r="37" spans="1:10" x14ac:dyDescent="0.25">
      <c r="A37" s="185" t="s">
        <v>499</v>
      </c>
      <c r="B37" s="168" t="str">
        <f t="shared" si="5"/>
        <v>Le choix du type de déposants en fiducie ne peux pas être "Non applicable" si un nombre de déposants en fiducie est saisi</v>
      </c>
      <c r="C37" s="240" t="s">
        <v>361</v>
      </c>
      <c r="D37" s="155">
        <f>'200'!L13</f>
        <v>0</v>
      </c>
      <c r="E37" s="145">
        <f>'200'!P47</f>
        <v>4</v>
      </c>
      <c r="F37" s="146">
        <f>IF(AND(E37=4,D37&gt;0),1,0)</f>
        <v>0</v>
      </c>
      <c r="G37" s="225" t="s">
        <v>191</v>
      </c>
      <c r="H37" s="228" t="s">
        <v>179</v>
      </c>
      <c r="I37" s="228" t="s">
        <v>361</v>
      </c>
      <c r="J37" s="157">
        <v>20003005</v>
      </c>
    </row>
    <row r="38" spans="1:10" ht="13.8" x14ac:dyDescent="0.3">
      <c r="A38" s="185" t="s">
        <v>500</v>
      </c>
      <c r="B38" s="168" t="str">
        <f t="shared" si="5"/>
        <v>Le report du nombre de déposants en fiducie ≤ 100 000 $ ne correspond pas à l'option choisie (nombre de comptes)</v>
      </c>
      <c r="C38" s="240" t="s">
        <v>362</v>
      </c>
      <c r="D38" s="242" t="str">
        <f>'200'!K14</f>
        <v/>
      </c>
      <c r="E38" s="243" t="str">
        <f>IF('200'!$P$47=1,'200'!K$13,"")</f>
        <v/>
      </c>
      <c r="F38" s="146">
        <f t="shared" ref="F38:F114" si="6">IF(D38=E38,0,1)</f>
        <v>0</v>
      </c>
      <c r="G38" s="225" t="s">
        <v>191</v>
      </c>
      <c r="H38" s="228" t="s">
        <v>378</v>
      </c>
      <c r="I38" s="228" t="s">
        <v>362</v>
      </c>
      <c r="J38" s="157">
        <v>20003104</v>
      </c>
    </row>
    <row r="39" spans="1:10" ht="13.8" x14ac:dyDescent="0.3">
      <c r="A39" s="185" t="s">
        <v>501</v>
      </c>
      <c r="B39" s="168" t="str">
        <f t="shared" si="5"/>
        <v>Le report du nombre de déposants en fiducie &gt; 100 000 $ ne correspond pas à l'option choisie (nombre de comptes)</v>
      </c>
      <c r="C39" s="240" t="s">
        <v>363</v>
      </c>
      <c r="D39" s="242" t="str">
        <f>'200'!L14</f>
        <v/>
      </c>
      <c r="E39" s="243" t="str">
        <f>IF('200'!P47=1,'200'!L$13,"")</f>
        <v/>
      </c>
      <c r="F39" s="146">
        <f t="shared" si="6"/>
        <v>0</v>
      </c>
      <c r="G39" s="225" t="s">
        <v>191</v>
      </c>
      <c r="H39" s="228" t="s">
        <v>379</v>
      </c>
      <c r="I39" s="228" t="s">
        <v>363</v>
      </c>
      <c r="J39" s="157">
        <v>20003105</v>
      </c>
    </row>
    <row r="40" spans="1:10" ht="13.8" x14ac:dyDescent="0.3">
      <c r="A40" s="185" t="s">
        <v>502</v>
      </c>
      <c r="B40" s="168" t="str">
        <f t="shared" si="5"/>
        <v>Le report du nombre de déposants en fiducie ≤ 100 000 $ ne correspond pas à l'option choisie (nombre de clients)</v>
      </c>
      <c r="C40" s="240" t="s">
        <v>364</v>
      </c>
      <c r="D40" s="242" t="str">
        <f>'200'!K15</f>
        <v/>
      </c>
      <c r="E40" s="243" t="str">
        <f>IF('200'!$P$47=2,'200'!K$13,"")</f>
        <v/>
      </c>
      <c r="F40" s="146">
        <f t="shared" si="6"/>
        <v>0</v>
      </c>
      <c r="G40" s="225" t="s">
        <v>191</v>
      </c>
      <c r="H40" s="228" t="s">
        <v>380</v>
      </c>
      <c r="I40" s="228" t="s">
        <v>364</v>
      </c>
      <c r="J40" s="157">
        <v>20003204</v>
      </c>
    </row>
    <row r="41" spans="1:10" ht="13.8" x14ac:dyDescent="0.3">
      <c r="A41" s="185" t="s">
        <v>46</v>
      </c>
      <c r="B41" s="168" t="str">
        <f t="shared" si="5"/>
        <v>Le report du nombre de déposants en fiducie &gt; 100 000 $ ne correspond pas à l'option choisie (nombre de clients)</v>
      </c>
      <c r="C41" s="240" t="s">
        <v>365</v>
      </c>
      <c r="D41" s="242" t="str">
        <f>'200'!L15</f>
        <v/>
      </c>
      <c r="E41" s="243" t="str">
        <f>IF('200'!P47=2,'200'!L$13,"")</f>
        <v/>
      </c>
      <c r="F41" s="146">
        <f t="shared" si="6"/>
        <v>0</v>
      </c>
      <c r="G41" s="225" t="s">
        <v>191</v>
      </c>
      <c r="H41" s="228" t="s">
        <v>381</v>
      </c>
      <c r="I41" s="228" t="s">
        <v>365</v>
      </c>
      <c r="J41" s="157">
        <v>20003205</v>
      </c>
    </row>
    <row r="42" spans="1:10" ht="13.8" x14ac:dyDescent="0.3">
      <c r="A42" s="185" t="s">
        <v>503</v>
      </c>
      <c r="B42" s="168" t="str">
        <f t="shared" si="5"/>
        <v>Le report du nombre de déposants en fiducie ≤ 100 000 $ ne correspond pas à l'option choisie (nombre de bénéficiaires)</v>
      </c>
      <c r="C42" s="240" t="s">
        <v>366</v>
      </c>
      <c r="D42" s="242" t="str">
        <f>'200'!K16</f>
        <v/>
      </c>
      <c r="E42" s="243" t="str">
        <f>IF('200'!$P$47=3,'200'!K$13,"")</f>
        <v/>
      </c>
      <c r="F42" s="146">
        <f t="shared" si="6"/>
        <v>0</v>
      </c>
      <c r="G42" s="225" t="s">
        <v>191</v>
      </c>
      <c r="H42" s="228" t="s">
        <v>382</v>
      </c>
      <c r="I42" s="228" t="s">
        <v>366</v>
      </c>
      <c r="J42" s="157">
        <v>20003304</v>
      </c>
    </row>
    <row r="43" spans="1:10" ht="13.8" x14ac:dyDescent="0.3">
      <c r="A43" s="185" t="s">
        <v>504</v>
      </c>
      <c r="B43" s="168" t="str">
        <f t="shared" si="5"/>
        <v>Le report du nombre de déposants en fiducie &gt; 100 000 $ ne correspond pas à l'option choisie (nombre de bénéficiaires)</v>
      </c>
      <c r="C43" s="240" t="s">
        <v>367</v>
      </c>
      <c r="D43" s="242" t="str">
        <f>'200'!L16</f>
        <v/>
      </c>
      <c r="E43" s="243" t="str">
        <f>IF('200'!P47=3,'200'!L$13,"")</f>
        <v/>
      </c>
      <c r="F43" s="146">
        <f t="shared" si="6"/>
        <v>0</v>
      </c>
      <c r="G43" s="225" t="s">
        <v>191</v>
      </c>
      <c r="H43" s="228" t="s">
        <v>383</v>
      </c>
      <c r="I43" s="228" t="s">
        <v>367</v>
      </c>
      <c r="J43" s="157">
        <v>20003305</v>
      </c>
    </row>
    <row r="44" spans="1:10" x14ac:dyDescent="0.25">
      <c r="A44" s="185" t="s">
        <v>505</v>
      </c>
      <c r="B44" s="168" t="str">
        <f t="shared" si="5"/>
        <v>L'addition des dépôts en vertu d'un mandat retourne un résultat incorrect (200-040-03)</v>
      </c>
      <c r="C44" s="240" t="s">
        <v>368</v>
      </c>
      <c r="D44" s="150">
        <f>'200'!H18</f>
        <v>0</v>
      </c>
      <c r="E44" s="150">
        <f>'200'!F18+'200'!G18</f>
        <v>0</v>
      </c>
      <c r="F44" s="146">
        <f t="shared" si="6"/>
        <v>0</v>
      </c>
      <c r="G44" s="225" t="s">
        <v>191</v>
      </c>
      <c r="H44" s="228" t="s">
        <v>125</v>
      </c>
      <c r="I44" s="228" t="s">
        <v>368</v>
      </c>
      <c r="J44" s="157">
        <v>20004003</v>
      </c>
    </row>
    <row r="45" spans="1:10" x14ac:dyDescent="0.25">
      <c r="A45" s="185" t="s">
        <v>506</v>
      </c>
      <c r="B45" s="168" t="str">
        <f t="shared" si="5"/>
        <v>L'addition des REER retourne un résultat incorrect (200-050-03)</v>
      </c>
      <c r="C45" s="240" t="s">
        <v>369</v>
      </c>
      <c r="D45" s="150">
        <f>'200'!H20</f>
        <v>0</v>
      </c>
      <c r="E45" s="150">
        <f>'200'!F20+'200'!G20</f>
        <v>0</v>
      </c>
      <c r="F45" s="146">
        <f t="shared" si="6"/>
        <v>0</v>
      </c>
      <c r="G45" s="225" t="s">
        <v>191</v>
      </c>
      <c r="H45" s="228" t="s">
        <v>126</v>
      </c>
      <c r="I45" s="228" t="s">
        <v>369</v>
      </c>
      <c r="J45" s="157">
        <v>20005003</v>
      </c>
    </row>
    <row r="46" spans="1:10" x14ac:dyDescent="0.25">
      <c r="A46" s="185" t="s">
        <v>507</v>
      </c>
      <c r="B46" s="168" t="str">
        <f t="shared" si="5"/>
        <v>L'addition des FERR retourne un résultat incorrect (200-060-03)</v>
      </c>
      <c r="C46" s="240" t="s">
        <v>370</v>
      </c>
      <c r="D46" s="150">
        <f>'200'!H22</f>
        <v>0</v>
      </c>
      <c r="E46" s="150">
        <f>'200'!F22+'200'!G22</f>
        <v>0</v>
      </c>
      <c r="F46" s="146">
        <f t="shared" si="6"/>
        <v>0</v>
      </c>
      <c r="G46" s="225" t="s">
        <v>191</v>
      </c>
      <c r="H46" s="228" t="s">
        <v>127</v>
      </c>
      <c r="I46" s="228" t="s">
        <v>370</v>
      </c>
      <c r="J46" s="157">
        <v>20006003</v>
      </c>
    </row>
    <row r="47" spans="1:10" x14ac:dyDescent="0.25">
      <c r="A47" s="185" t="s">
        <v>508</v>
      </c>
      <c r="B47" s="168" t="str">
        <f t="shared" si="5"/>
        <v>L'addition des CELI retourne un résultat incorrect (200-070-03)</v>
      </c>
      <c r="C47" s="240" t="s">
        <v>371</v>
      </c>
      <c r="D47" s="150">
        <f>'200'!H24</f>
        <v>0</v>
      </c>
      <c r="E47" s="150">
        <f>'200'!F24+'200'!G24</f>
        <v>0</v>
      </c>
      <c r="F47" s="146">
        <f t="shared" si="6"/>
        <v>0</v>
      </c>
      <c r="G47" s="225" t="s">
        <v>191</v>
      </c>
      <c r="H47" s="228" t="s">
        <v>128</v>
      </c>
      <c r="I47" s="228" t="s">
        <v>371</v>
      </c>
      <c r="J47" s="157">
        <v>20007003</v>
      </c>
    </row>
    <row r="48" spans="1:10" x14ac:dyDescent="0.25">
      <c r="A48" s="185" t="s">
        <v>509</v>
      </c>
      <c r="B48" s="168" t="str">
        <f t="shared" si="5"/>
        <v>L'addition des comptes d'impôt foncier retourne un résultat incorrect (200-080-03)</v>
      </c>
      <c r="C48" s="240" t="s">
        <v>372</v>
      </c>
      <c r="D48" s="150">
        <f>'200'!H26</f>
        <v>0</v>
      </c>
      <c r="E48" s="150">
        <f>'200'!F26+'200'!G26</f>
        <v>0</v>
      </c>
      <c r="F48" s="146">
        <f t="shared" si="6"/>
        <v>0</v>
      </c>
      <c r="G48" s="225" t="s">
        <v>191</v>
      </c>
      <c r="H48" s="228" t="s">
        <v>129</v>
      </c>
      <c r="I48" s="228" t="s">
        <v>372</v>
      </c>
      <c r="J48" s="157">
        <v>20008003</v>
      </c>
    </row>
    <row r="49" spans="1:10" x14ac:dyDescent="0.25">
      <c r="A49" s="185" t="s">
        <v>510</v>
      </c>
      <c r="B49" s="168" t="str">
        <f t="shared" si="5"/>
        <v>L'addition des REEE retourne un résultat incorrect (200-085-03)</v>
      </c>
      <c r="C49" s="240"/>
      <c r="D49" s="150">
        <f>'200'!H28</f>
        <v>0</v>
      </c>
      <c r="E49" s="150">
        <f>'200'!F28+'200'!G28</f>
        <v>0</v>
      </c>
      <c r="F49" s="146">
        <f t="shared" si="6"/>
        <v>0</v>
      </c>
      <c r="G49" s="225" t="s">
        <v>191</v>
      </c>
      <c r="H49" s="228" t="s">
        <v>689</v>
      </c>
      <c r="I49" s="228" t="s">
        <v>690</v>
      </c>
      <c r="J49" s="157">
        <v>20008503</v>
      </c>
    </row>
    <row r="50" spans="1:10" x14ac:dyDescent="0.25">
      <c r="A50" s="185" t="s">
        <v>511</v>
      </c>
      <c r="B50" s="168" t="str">
        <f t="shared" si="5"/>
        <v>L'addition des REEI retourne un résultat incorrect (200-086-03)</v>
      </c>
      <c r="C50" s="240"/>
      <c r="D50" s="150">
        <f>'200'!H30</f>
        <v>0</v>
      </c>
      <c r="E50" s="150">
        <f>'200'!F30+'200'!G30</f>
        <v>0</v>
      </c>
      <c r="F50" s="146">
        <f t="shared" si="6"/>
        <v>0</v>
      </c>
      <c r="G50" s="225" t="s">
        <v>191</v>
      </c>
      <c r="H50" s="228" t="s">
        <v>691</v>
      </c>
      <c r="I50" s="228" t="s">
        <v>692</v>
      </c>
      <c r="J50" s="157">
        <v>20008603</v>
      </c>
    </row>
    <row r="51" spans="1:10" x14ac:dyDescent="0.25">
      <c r="A51" s="185" t="s">
        <v>47</v>
      </c>
      <c r="B51" s="168" t="str">
        <f t="shared" si="5"/>
        <v>L'addition des CELIAPP retourne un résultat incorrect (200-087-03)</v>
      </c>
      <c r="C51" s="240"/>
      <c r="D51" s="150">
        <f>'200'!H32</f>
        <v>0</v>
      </c>
      <c r="E51" s="150">
        <f>'200'!F32+'200'!G32</f>
        <v>0</v>
      </c>
      <c r="F51" s="146">
        <f t="shared" si="6"/>
        <v>0</v>
      </c>
      <c r="G51" s="225" t="s">
        <v>191</v>
      </c>
      <c r="H51" s="228" t="s">
        <v>847</v>
      </c>
      <c r="I51" s="228" t="s">
        <v>846</v>
      </c>
      <c r="J51" s="157">
        <v>20008703</v>
      </c>
    </row>
    <row r="52" spans="1:10" x14ac:dyDescent="0.25">
      <c r="A52" s="185" t="s">
        <v>512</v>
      </c>
      <c r="B52" s="168" t="str">
        <f t="shared" si="5"/>
        <v>L'addition des dépôts ≤ 100 000 $ retourne un résultat incorrect (200-090-01)</v>
      </c>
      <c r="C52" s="240" t="s">
        <v>373</v>
      </c>
      <c r="D52" s="150">
        <f>'200'!F34</f>
        <v>0</v>
      </c>
      <c r="E52" s="150">
        <f>SUM('200'!F9,'200'!F11,'200'!F13,'200'!F18,'200'!F20,'200'!F22,'200'!F24,'200'!F26,'200'!F28,'200'!F30,'200'!F32)</f>
        <v>0</v>
      </c>
      <c r="F52" s="146">
        <f t="shared" si="6"/>
        <v>0</v>
      </c>
      <c r="G52" s="225" t="s">
        <v>191</v>
      </c>
      <c r="H52" s="228" t="s">
        <v>130</v>
      </c>
      <c r="I52" s="228" t="s">
        <v>373</v>
      </c>
      <c r="J52" s="157">
        <v>20009001</v>
      </c>
    </row>
    <row r="53" spans="1:10" x14ac:dyDescent="0.25">
      <c r="A53" s="185" t="s">
        <v>513</v>
      </c>
      <c r="B53" s="168" t="str">
        <f t="shared" si="5"/>
        <v>L'addition des dépôts &gt; 100 000 $ retourne un résultat incorrect (200-090-02)</v>
      </c>
      <c r="C53" s="240" t="s">
        <v>374</v>
      </c>
      <c r="D53" s="150">
        <f>'200'!G34</f>
        <v>0</v>
      </c>
      <c r="E53" s="150">
        <f>SUM('200'!G9,'200'!G11,'200'!G13,'200'!G18,'200'!G20,'200'!G22,'200'!G24,'200'!G26,'200'!G28,'200'!G30,'200'!G32)</f>
        <v>0</v>
      </c>
      <c r="F53" s="146">
        <f t="shared" si="6"/>
        <v>0</v>
      </c>
      <c r="G53" s="225" t="s">
        <v>191</v>
      </c>
      <c r="H53" s="228" t="s">
        <v>131</v>
      </c>
      <c r="I53" s="228" t="s">
        <v>374</v>
      </c>
      <c r="J53" s="157">
        <v>20009002</v>
      </c>
    </row>
    <row r="54" spans="1:10" x14ac:dyDescent="0.25">
      <c r="A54" s="185" t="s">
        <v>514</v>
      </c>
      <c r="B54" s="168" t="str">
        <f t="shared" si="5"/>
        <v>L'addition de tous les dépots retourne un résultat incorrect (200-090-03)</v>
      </c>
      <c r="C54" s="240" t="s">
        <v>375</v>
      </c>
      <c r="D54" s="150">
        <f>'200'!H34</f>
        <v>0</v>
      </c>
      <c r="E54" s="150">
        <f>SUM('200'!F34,'200'!G34)</f>
        <v>0</v>
      </c>
      <c r="F54" s="146">
        <f t="shared" si="6"/>
        <v>0</v>
      </c>
      <c r="G54" s="225" t="s">
        <v>191</v>
      </c>
      <c r="H54" s="228" t="s">
        <v>132</v>
      </c>
      <c r="I54" s="228" t="s">
        <v>375</v>
      </c>
      <c r="J54" s="157">
        <v>20009003</v>
      </c>
    </row>
    <row r="55" spans="1:10" x14ac:dyDescent="0.25">
      <c r="A55" s="185" t="s">
        <v>515</v>
      </c>
      <c r="B55" s="168" t="str">
        <f t="shared" si="5"/>
        <v>L'addition du nombre de déposants ≤ 100 000 $ retourne un résultat incorrect (200-090-04)</v>
      </c>
      <c r="C55" s="240" t="s">
        <v>376</v>
      </c>
      <c r="D55" s="150">
        <f>'200'!K34</f>
        <v>0</v>
      </c>
      <c r="E55" s="150">
        <f>SUM('200'!K9,'200'!K11,'200'!K13,'200'!K18,'200'!K20,'200'!K22,'200'!K24,'200'!K26,'200'!K28,'200'!K30,'200'!K32)</f>
        <v>0</v>
      </c>
      <c r="F55" s="146">
        <f t="shared" si="6"/>
        <v>0</v>
      </c>
      <c r="G55" s="225" t="s">
        <v>191</v>
      </c>
      <c r="H55" s="228" t="s">
        <v>133</v>
      </c>
      <c r="I55" s="228" t="s">
        <v>376</v>
      </c>
      <c r="J55" s="157">
        <v>20009004</v>
      </c>
    </row>
    <row r="56" spans="1:10" x14ac:dyDescent="0.25">
      <c r="A56" s="185" t="s">
        <v>516</v>
      </c>
      <c r="B56" s="168" t="str">
        <f t="shared" si="5"/>
        <v>L'addition du nombre de déposants &gt; 100 000 $ retourne un résultat incorrect (200-090-05)</v>
      </c>
      <c r="C56" s="240" t="s">
        <v>377</v>
      </c>
      <c r="D56" s="150">
        <f>'200'!L34</f>
        <v>0</v>
      </c>
      <c r="E56" s="150">
        <f>SUM('200'!L9,'200'!L11,'200'!L13,'200'!L18,'200'!L20,'200'!L22,'200'!L24,'200'!L26,'200'!L28,'200'!L30,'200'!L32)</f>
        <v>0</v>
      </c>
      <c r="F56" s="146">
        <f t="shared" si="6"/>
        <v>0</v>
      </c>
      <c r="G56" s="225" t="s">
        <v>191</v>
      </c>
      <c r="H56" s="228" t="s">
        <v>134</v>
      </c>
      <c r="I56" s="228" t="s">
        <v>377</v>
      </c>
      <c r="J56" s="157">
        <v>20009005</v>
      </c>
    </row>
    <row r="57" spans="1:10" x14ac:dyDescent="0.25">
      <c r="A57" s="185" t="s">
        <v>517</v>
      </c>
      <c r="B57" s="168" t="str">
        <f t="shared" ref="B57:B64" si="7">IF(LangueChoisie=LangueFR,H57,I57)</f>
        <v>Un montant de dépôts assurables ≤ 100 000 $ doit obligatoirement être indiqué lorsqu'un montant de dépôts assurables &gt; 100 000 $ est présent (200-010-01)</v>
      </c>
      <c r="C57" s="244" t="s">
        <v>291</v>
      </c>
      <c r="D57" s="150">
        <f>_20001002</f>
        <v>0</v>
      </c>
      <c r="E57" s="150">
        <f>_20001001</f>
        <v>0</v>
      </c>
      <c r="F57" s="146">
        <f>IF(AND(D57&gt;0,E57&lt;=0),1,0)</f>
        <v>0</v>
      </c>
      <c r="G57" s="225" t="s">
        <v>191</v>
      </c>
      <c r="H57" s="223" t="s">
        <v>199</v>
      </c>
      <c r="I57" s="230" t="s">
        <v>291</v>
      </c>
      <c r="J57" s="157">
        <v>20001001</v>
      </c>
    </row>
    <row r="58" spans="1:10" x14ac:dyDescent="0.25">
      <c r="A58" s="185" t="s">
        <v>518</v>
      </c>
      <c r="B58" s="168" t="str">
        <f t="shared" si="7"/>
        <v>Un montant de dépôts assurables ≤ 100 000 $ doit obligatoirement être indiqué lorsqu'un montant de dépôts assurables &gt; 100 000 $ est présent (200-020-01)</v>
      </c>
      <c r="C58" s="244" t="s">
        <v>293</v>
      </c>
      <c r="D58" s="150">
        <f>_20002002</f>
        <v>0</v>
      </c>
      <c r="E58" s="150">
        <f>_20002001</f>
        <v>0</v>
      </c>
      <c r="F58" s="146">
        <f t="shared" ref="F58:F64" si="8">IF(AND(D58&gt;0,E58&lt;=0),1,0)</f>
        <v>0</v>
      </c>
      <c r="G58" s="225" t="s">
        <v>191</v>
      </c>
      <c r="H58" s="223" t="s">
        <v>200</v>
      </c>
      <c r="I58" s="230" t="s">
        <v>293</v>
      </c>
      <c r="J58" s="157">
        <v>20002001</v>
      </c>
    </row>
    <row r="59" spans="1:10" x14ac:dyDescent="0.25">
      <c r="A59" s="185" t="s">
        <v>519</v>
      </c>
      <c r="B59" s="168" t="str">
        <f t="shared" si="7"/>
        <v>Un montant de dépôts assurables ≤ 100 000 $ doit obligatoirement être indiqué lorsqu'un montant de dépôts assurables &gt; 100 000 $ est présent (200-030-01)</v>
      </c>
      <c r="C59" s="244" t="s">
        <v>294</v>
      </c>
      <c r="D59" s="150">
        <f>_20003002</f>
        <v>0</v>
      </c>
      <c r="E59" s="150">
        <f>_20003001</f>
        <v>0</v>
      </c>
      <c r="F59" s="146">
        <f t="shared" si="8"/>
        <v>0</v>
      </c>
      <c r="G59" s="225" t="s">
        <v>191</v>
      </c>
      <c r="H59" s="223" t="s">
        <v>201</v>
      </c>
      <c r="I59" s="230" t="s">
        <v>294</v>
      </c>
      <c r="J59" s="157">
        <v>20003001</v>
      </c>
    </row>
    <row r="60" spans="1:10" x14ac:dyDescent="0.25">
      <c r="A60" s="185" t="s">
        <v>520</v>
      </c>
      <c r="B60" s="168" t="str">
        <f t="shared" si="7"/>
        <v>Un montant de dépôts assurables ≤ 100 000 $ doit obligatoirement être indiqué lorsqu'un montant de dépôts assurables &gt; 100 000 $ est présent (200-040-01)</v>
      </c>
      <c r="C60" s="244" t="s">
        <v>295</v>
      </c>
      <c r="D60" s="150">
        <f>_20004002</f>
        <v>0</v>
      </c>
      <c r="E60" s="150">
        <f>_20004001</f>
        <v>0</v>
      </c>
      <c r="F60" s="146">
        <f t="shared" si="8"/>
        <v>0</v>
      </c>
      <c r="G60" s="225" t="s">
        <v>191</v>
      </c>
      <c r="H60" s="223" t="s">
        <v>202</v>
      </c>
      <c r="I60" s="230" t="s">
        <v>295</v>
      </c>
      <c r="J60" s="157">
        <v>20004001</v>
      </c>
    </row>
    <row r="61" spans="1:10" x14ac:dyDescent="0.25">
      <c r="A61" s="185" t="s">
        <v>48</v>
      </c>
      <c r="B61" s="168" t="str">
        <f t="shared" si="7"/>
        <v>Un montant de dépôts assurables ≤ 100 000 $ doit obligatoirement être indiqué lorsqu'un montant de dépôts assurables &gt; 100 000 $ est présent (200-050-01)</v>
      </c>
      <c r="C61" s="244" t="s">
        <v>296</v>
      </c>
      <c r="D61" s="150">
        <f>_20005002</f>
        <v>0</v>
      </c>
      <c r="E61" s="150">
        <f>_20005001</f>
        <v>0</v>
      </c>
      <c r="F61" s="146">
        <f t="shared" si="8"/>
        <v>0</v>
      </c>
      <c r="G61" s="225" t="s">
        <v>191</v>
      </c>
      <c r="H61" s="223" t="s">
        <v>203</v>
      </c>
      <c r="I61" s="230" t="s">
        <v>296</v>
      </c>
      <c r="J61" s="157">
        <v>20005001</v>
      </c>
    </row>
    <row r="62" spans="1:10" x14ac:dyDescent="0.25">
      <c r="A62" s="185" t="s">
        <v>521</v>
      </c>
      <c r="B62" s="168" t="str">
        <f t="shared" si="7"/>
        <v>Un montant de dépôts assurables ≤ 100 000 $ doit obligatoirement être indiqué lorsqu'un montant de dépôts assurables &gt; 100 000 $ est présent (200-060-01)</v>
      </c>
      <c r="C62" s="244" t="s">
        <v>297</v>
      </c>
      <c r="D62" s="150">
        <f>_20006002</f>
        <v>0</v>
      </c>
      <c r="E62" s="150">
        <f>_20006001</f>
        <v>0</v>
      </c>
      <c r="F62" s="146">
        <f t="shared" si="8"/>
        <v>0</v>
      </c>
      <c r="G62" s="225" t="s">
        <v>191</v>
      </c>
      <c r="H62" s="223" t="s">
        <v>204</v>
      </c>
      <c r="I62" s="230" t="s">
        <v>297</v>
      </c>
      <c r="J62" s="157">
        <v>20006001</v>
      </c>
    </row>
    <row r="63" spans="1:10" x14ac:dyDescent="0.25">
      <c r="A63" s="185" t="s">
        <v>522</v>
      </c>
      <c r="B63" s="168" t="str">
        <f t="shared" si="7"/>
        <v>Un montant de dépôts assurables ≤ 100 000 $ doit obligatoirement être indiqué lorsqu'un montant de dépôts assurables &gt; 100 000 $ est présent (200-070-01)</v>
      </c>
      <c r="C63" s="244" t="s">
        <v>298</v>
      </c>
      <c r="D63" s="150">
        <f>_20007002</f>
        <v>0</v>
      </c>
      <c r="E63" s="150">
        <f>_20007001</f>
        <v>0</v>
      </c>
      <c r="F63" s="146">
        <f t="shared" si="8"/>
        <v>0</v>
      </c>
      <c r="G63" s="225" t="s">
        <v>191</v>
      </c>
      <c r="H63" s="223" t="s">
        <v>205</v>
      </c>
      <c r="I63" s="230" t="s">
        <v>298</v>
      </c>
      <c r="J63" s="157">
        <v>20007001</v>
      </c>
    </row>
    <row r="64" spans="1:10" x14ac:dyDescent="0.25">
      <c r="A64" s="185" t="s">
        <v>523</v>
      </c>
      <c r="B64" s="168" t="str">
        <f t="shared" si="7"/>
        <v>Un montant de dépôts assurables ≤ 100 000 $ doit obligatoirement être indiqué lorsqu'un montant de dépôts assurables &gt; 100 000 $ est présent (200-080-01)</v>
      </c>
      <c r="C64" s="244" t="s">
        <v>299</v>
      </c>
      <c r="D64" s="150">
        <f>_20008002</f>
        <v>0</v>
      </c>
      <c r="E64" s="150">
        <f>_20008001</f>
        <v>0</v>
      </c>
      <c r="F64" s="146">
        <f t="shared" si="8"/>
        <v>0</v>
      </c>
      <c r="G64" s="225" t="s">
        <v>191</v>
      </c>
      <c r="H64" s="223" t="s">
        <v>206</v>
      </c>
      <c r="I64" s="230" t="s">
        <v>299</v>
      </c>
      <c r="J64" s="157">
        <v>20008001</v>
      </c>
    </row>
    <row r="65" spans="1:10" x14ac:dyDescent="0.25">
      <c r="A65" s="185" t="s">
        <v>524</v>
      </c>
      <c r="B65" s="168" t="str">
        <f t="shared" ref="B65:B66" si="9">IF(LangueChoisie=LangueFR,H65,I65)</f>
        <v>Un montant de dépôts assurables ≤ 100 000 $ doit obligatoirement être indiqué lorsqu'un montant de dépôts assurables &gt; 100 000 $ est présent (200-085-01)</v>
      </c>
      <c r="C65" s="244" t="s">
        <v>695</v>
      </c>
      <c r="D65" s="150">
        <f>_20008502</f>
        <v>0</v>
      </c>
      <c r="E65" s="150">
        <f>_20008501</f>
        <v>0</v>
      </c>
      <c r="F65" s="217">
        <f t="shared" ref="F65:F66" si="10">IF(AND(D65&gt;0,E65&lt;=0),1,0)</f>
        <v>0</v>
      </c>
      <c r="G65" s="225" t="s">
        <v>191</v>
      </c>
      <c r="H65" s="223" t="s">
        <v>697</v>
      </c>
      <c r="I65" s="230" t="s">
        <v>699</v>
      </c>
      <c r="J65" s="157">
        <v>20008501</v>
      </c>
    </row>
    <row r="66" spans="1:10" x14ac:dyDescent="0.25">
      <c r="A66" s="185" t="s">
        <v>525</v>
      </c>
      <c r="B66" s="168" t="str">
        <f t="shared" si="9"/>
        <v>Un montant de dépôts assurables ≤ 100 000 $ doit obligatoirement être indiqué lorsqu'un montant de dépôts assurables &gt; 100 000 $ est présent (200-086-01)</v>
      </c>
      <c r="C66" s="244" t="s">
        <v>696</v>
      </c>
      <c r="D66" s="150">
        <f>_20008602</f>
        <v>0</v>
      </c>
      <c r="E66" s="150">
        <f>_20008601</f>
        <v>0</v>
      </c>
      <c r="F66" s="217">
        <f t="shared" si="10"/>
        <v>0</v>
      </c>
      <c r="G66" s="225" t="s">
        <v>191</v>
      </c>
      <c r="H66" s="223" t="s">
        <v>698</v>
      </c>
      <c r="I66" s="230" t="s">
        <v>700</v>
      </c>
      <c r="J66" s="157">
        <v>20008601</v>
      </c>
    </row>
    <row r="67" spans="1:10" x14ac:dyDescent="0.25">
      <c r="A67" s="185" t="s">
        <v>526</v>
      </c>
      <c r="B67" s="168" t="str">
        <f t="shared" ref="B67" si="11">IF(LangueChoisie=LangueFR,H67,I67)</f>
        <v>Un montant de dépôts assurables ≤ 100 000 $ doit obligatoirement être indiqué lorsqu'un montant de dépôts assurables &gt; 100 000 $ est présent (200-087-01)</v>
      </c>
      <c r="C67" s="244" t="s">
        <v>696</v>
      </c>
      <c r="D67" s="150">
        <f>_20008702</f>
        <v>0</v>
      </c>
      <c r="E67" s="150">
        <f>_20008701</f>
        <v>0</v>
      </c>
      <c r="F67" s="217">
        <f t="shared" ref="F67" si="12">IF(AND(D67&gt;0,E67&lt;=0),1,0)</f>
        <v>0</v>
      </c>
      <c r="G67" s="225" t="s">
        <v>191</v>
      </c>
      <c r="H67" s="223" t="s">
        <v>848</v>
      </c>
      <c r="I67" s="230" t="s">
        <v>849</v>
      </c>
      <c r="J67" s="157">
        <v>20008701</v>
      </c>
    </row>
    <row r="68" spans="1:10" x14ac:dyDescent="0.25">
      <c r="A68" s="185" t="s">
        <v>527</v>
      </c>
      <c r="B68" s="168" t="str">
        <f t="shared" si="5"/>
        <v>Le nombre de déposants doit être non-nul puisque des dépôts assurables sont présents pour cette catégorie d'assurance (200-010-04 &amp; 200-010-05)</v>
      </c>
      <c r="C68" s="244" t="s">
        <v>458</v>
      </c>
      <c r="D68" s="155">
        <f>_20001004+_20001005</f>
        <v>0</v>
      </c>
      <c r="E68" s="180">
        <f>_20001001</f>
        <v>0</v>
      </c>
      <c r="F68" s="158">
        <f>IF(AND(D68=0,E68&gt;0),1,0)</f>
        <v>0</v>
      </c>
      <c r="G68" s="225" t="s">
        <v>191</v>
      </c>
      <c r="H68" s="223" t="s">
        <v>451</v>
      </c>
      <c r="I68" s="230" t="s">
        <v>458</v>
      </c>
      <c r="J68" s="157">
        <v>20001004</v>
      </c>
    </row>
    <row r="69" spans="1:10" x14ac:dyDescent="0.25">
      <c r="A69" s="185" t="s">
        <v>528</v>
      </c>
      <c r="B69" s="168" t="str">
        <f t="shared" si="5"/>
        <v>Le nombre de déposants &gt; 100 000 $ doit être non-nul puisque des dépôts assurables &gt; 100 000 $ sont présents pour cette catégorie d'assurance (200-010-05)</v>
      </c>
      <c r="C69" s="244" t="s">
        <v>307</v>
      </c>
      <c r="D69" s="155">
        <f>_20001005</f>
        <v>0</v>
      </c>
      <c r="E69" s="180">
        <f>_20001002</f>
        <v>0</v>
      </c>
      <c r="F69" s="158">
        <f t="shared" ref="F69:F83" si="13">IF(AND(D69=0,E69&gt;0),1,0)</f>
        <v>0</v>
      </c>
      <c r="G69" s="225" t="s">
        <v>191</v>
      </c>
      <c r="H69" s="223" t="s">
        <v>207</v>
      </c>
      <c r="I69" s="230" t="s">
        <v>307</v>
      </c>
      <c r="J69" s="157">
        <v>20001005</v>
      </c>
    </row>
    <row r="70" spans="1:10" x14ac:dyDescent="0.25">
      <c r="A70" s="185" t="s">
        <v>529</v>
      </c>
      <c r="B70" s="168" t="str">
        <f t="shared" si="5"/>
        <v>Le nombre de déposants doit être non-nul puisque des dépôts assurables sont présents pour cette catégorie d'assurance (200-020-04 &amp; 200-020-05)</v>
      </c>
      <c r="C70" s="244" t="s">
        <v>459</v>
      </c>
      <c r="D70" s="155">
        <f>_20002004+_20002005</f>
        <v>0</v>
      </c>
      <c r="E70" s="180">
        <f>_20002001</f>
        <v>0</v>
      </c>
      <c r="F70" s="158">
        <f t="shared" si="13"/>
        <v>0</v>
      </c>
      <c r="G70" s="225" t="s">
        <v>191</v>
      </c>
      <c r="H70" s="223" t="s">
        <v>452</v>
      </c>
      <c r="I70" s="230" t="s">
        <v>459</v>
      </c>
      <c r="J70" s="157">
        <v>20002004</v>
      </c>
    </row>
    <row r="71" spans="1:10" x14ac:dyDescent="0.25">
      <c r="A71" s="185" t="s">
        <v>63</v>
      </c>
      <c r="B71" s="168" t="str">
        <f t="shared" si="5"/>
        <v>Le nombre de déposants &gt; 100 000 $ doit être non-nul puisque des dépôts assurables &gt; 100 000 $ sont présents pour cette catégorie d'assurance (200-020-05)</v>
      </c>
      <c r="C71" s="244" t="s">
        <v>308</v>
      </c>
      <c r="D71" s="155">
        <f>_20002005</f>
        <v>0</v>
      </c>
      <c r="E71" s="180">
        <f>_20002002</f>
        <v>0</v>
      </c>
      <c r="F71" s="158">
        <f t="shared" si="13"/>
        <v>0</v>
      </c>
      <c r="G71" s="225" t="s">
        <v>191</v>
      </c>
      <c r="H71" s="223" t="s">
        <v>208</v>
      </c>
      <c r="I71" s="230" t="s">
        <v>308</v>
      </c>
      <c r="J71" s="157">
        <v>20002005</v>
      </c>
    </row>
    <row r="72" spans="1:10" x14ac:dyDescent="0.25">
      <c r="A72" s="185" t="s">
        <v>530</v>
      </c>
      <c r="B72" s="168" t="str">
        <f t="shared" si="5"/>
        <v>Le nombre de déposants doit être non-nul puisque des dépôts assurables sont présents pour cette catégorie d'assurance (200-030-04 &amp; 200-030-05)</v>
      </c>
      <c r="C72" s="244" t="s">
        <v>460</v>
      </c>
      <c r="D72" s="155">
        <f>_20003004+_20003005</f>
        <v>0</v>
      </c>
      <c r="E72" s="180">
        <f>_20003001</f>
        <v>0</v>
      </c>
      <c r="F72" s="158">
        <f t="shared" si="13"/>
        <v>0</v>
      </c>
      <c r="G72" s="225" t="s">
        <v>191</v>
      </c>
      <c r="H72" s="223" t="s">
        <v>453</v>
      </c>
      <c r="I72" s="230" t="s">
        <v>460</v>
      </c>
      <c r="J72" s="157">
        <v>20003004</v>
      </c>
    </row>
    <row r="73" spans="1:10" x14ac:dyDescent="0.25">
      <c r="A73" s="185" t="s">
        <v>531</v>
      </c>
      <c r="B73" s="168" t="str">
        <f t="shared" si="5"/>
        <v>Le nombre de déposants &gt; 100 000 $ doit être non-nul puisque des dépôts assurables &gt; 100 000 $ sont présents pour cette catégorie d'assurance (200-030-05)</v>
      </c>
      <c r="C73" s="244" t="s">
        <v>309</v>
      </c>
      <c r="D73" s="155">
        <f>_20003005</f>
        <v>0</v>
      </c>
      <c r="E73" s="180">
        <f>_20003002</f>
        <v>0</v>
      </c>
      <c r="F73" s="158">
        <f t="shared" si="13"/>
        <v>0</v>
      </c>
      <c r="G73" s="225" t="s">
        <v>191</v>
      </c>
      <c r="H73" s="223" t="s">
        <v>209</v>
      </c>
      <c r="I73" s="230" t="s">
        <v>309</v>
      </c>
      <c r="J73" s="157">
        <v>20003005</v>
      </c>
    </row>
    <row r="74" spans="1:10" x14ac:dyDescent="0.25">
      <c r="A74" s="185" t="s">
        <v>532</v>
      </c>
      <c r="B74" s="168" t="str">
        <f t="shared" si="5"/>
        <v>Le nombre de déposants doit être non-nul puisque des dépôts assurables sont présents pour cette catégorie d'assurance (200-040-04 &amp; 200-040-05)</v>
      </c>
      <c r="C74" s="244" t="s">
        <v>461</v>
      </c>
      <c r="D74" s="155">
        <f>_20004004+_20004005</f>
        <v>0</v>
      </c>
      <c r="E74" s="180">
        <f>_20004001</f>
        <v>0</v>
      </c>
      <c r="F74" s="158">
        <f t="shared" si="13"/>
        <v>0</v>
      </c>
      <c r="G74" s="225" t="s">
        <v>191</v>
      </c>
      <c r="H74" s="223" t="s">
        <v>454</v>
      </c>
      <c r="I74" s="230" t="s">
        <v>461</v>
      </c>
      <c r="J74" s="157">
        <v>20004004</v>
      </c>
    </row>
    <row r="75" spans="1:10" x14ac:dyDescent="0.25">
      <c r="A75" s="185" t="s">
        <v>533</v>
      </c>
      <c r="B75" s="168" t="str">
        <f t="shared" si="5"/>
        <v>Le nombre de déposants &gt; 100 000 $ doit être non-nul puisque des dépôts assurables &gt; 100 000 $ sont présents pour cette catégorie d'assurance (200-040-05)</v>
      </c>
      <c r="C75" s="244" t="s">
        <v>310</v>
      </c>
      <c r="D75" s="155">
        <f>_20004005</f>
        <v>0</v>
      </c>
      <c r="E75" s="180">
        <f>_20004002</f>
        <v>0</v>
      </c>
      <c r="F75" s="158">
        <f t="shared" si="13"/>
        <v>0</v>
      </c>
      <c r="G75" s="225" t="s">
        <v>191</v>
      </c>
      <c r="H75" s="223" t="s">
        <v>210</v>
      </c>
      <c r="I75" s="230" t="s">
        <v>310</v>
      </c>
      <c r="J75" s="157">
        <v>20004005</v>
      </c>
    </row>
    <row r="76" spans="1:10" x14ac:dyDescent="0.25">
      <c r="A76" s="185" t="s">
        <v>534</v>
      </c>
      <c r="B76" s="168" t="str">
        <f t="shared" si="5"/>
        <v>Le nombre de déposants doit être non-nul puisque des dépôts assurables sont présents pour cette catégorie d'assurance (200-050-04 &amp; 200-050-05)</v>
      </c>
      <c r="C76" s="244" t="s">
        <v>466</v>
      </c>
      <c r="D76" s="155">
        <f>_20005004+_20005005</f>
        <v>0</v>
      </c>
      <c r="E76" s="180">
        <f>_20005001</f>
        <v>0</v>
      </c>
      <c r="F76" s="158">
        <f t="shared" si="13"/>
        <v>0</v>
      </c>
      <c r="G76" s="225" t="s">
        <v>191</v>
      </c>
      <c r="H76" s="223" t="s">
        <v>465</v>
      </c>
      <c r="I76" s="230" t="s">
        <v>466</v>
      </c>
      <c r="J76" s="157">
        <v>20005004</v>
      </c>
    </row>
    <row r="77" spans="1:10" x14ac:dyDescent="0.25">
      <c r="A77" s="185" t="s">
        <v>535</v>
      </c>
      <c r="B77" s="168" t="str">
        <f t="shared" si="5"/>
        <v>Le nombre de déposants &gt; 100 000 $ doit être non-nul puisque des dépôts assurables &gt; 100 000 $ sont présents pour cette catégorie d'assurance (200-050-05)</v>
      </c>
      <c r="C77" s="244" t="s">
        <v>311</v>
      </c>
      <c r="D77" s="155">
        <f>_20005005</f>
        <v>0</v>
      </c>
      <c r="E77" s="180">
        <f>_20005002</f>
        <v>0</v>
      </c>
      <c r="F77" s="158">
        <f t="shared" si="13"/>
        <v>0</v>
      </c>
      <c r="G77" s="225" t="s">
        <v>191</v>
      </c>
      <c r="H77" s="223" t="s">
        <v>211</v>
      </c>
      <c r="I77" s="230" t="s">
        <v>311</v>
      </c>
      <c r="J77" s="157">
        <v>20005005</v>
      </c>
    </row>
    <row r="78" spans="1:10" x14ac:dyDescent="0.25">
      <c r="A78" s="185" t="s">
        <v>536</v>
      </c>
      <c r="B78" s="168" t="str">
        <f t="shared" si="5"/>
        <v>Le nombre de déposants doit être non-nul puisque des dépôts assurables sont présents pour cette catégorie d'assurance (200-060-04 &amp; 200-060-05)</v>
      </c>
      <c r="C78" s="244" t="s">
        <v>462</v>
      </c>
      <c r="D78" s="155">
        <f>_20006004+_20006005</f>
        <v>0</v>
      </c>
      <c r="E78" s="180">
        <f>_20006001</f>
        <v>0</v>
      </c>
      <c r="F78" s="158">
        <f t="shared" si="13"/>
        <v>0</v>
      </c>
      <c r="G78" s="225" t="s">
        <v>191</v>
      </c>
      <c r="H78" s="223" t="s">
        <v>455</v>
      </c>
      <c r="I78" s="230" t="s">
        <v>462</v>
      </c>
      <c r="J78" s="157">
        <v>20006004</v>
      </c>
    </row>
    <row r="79" spans="1:10" x14ac:dyDescent="0.25">
      <c r="A79" s="185" t="s">
        <v>537</v>
      </c>
      <c r="B79" s="168" t="str">
        <f t="shared" si="5"/>
        <v>Le nombre de déposants &gt; 100 000 $ doit être non-nul puisque des dépôts assurables &gt; 100 000 $ sont présents pour cette catégorie d'assurance (200-060-05)</v>
      </c>
      <c r="C79" s="244" t="s">
        <v>312</v>
      </c>
      <c r="D79" s="155">
        <f>_20006005</f>
        <v>0</v>
      </c>
      <c r="E79" s="180">
        <f>_20006002</f>
        <v>0</v>
      </c>
      <c r="F79" s="158">
        <f t="shared" si="13"/>
        <v>0</v>
      </c>
      <c r="G79" s="225" t="s">
        <v>191</v>
      </c>
      <c r="H79" s="223" t="s">
        <v>212</v>
      </c>
      <c r="I79" s="230" t="s">
        <v>312</v>
      </c>
      <c r="J79" s="157">
        <v>20006005</v>
      </c>
    </row>
    <row r="80" spans="1:10" x14ac:dyDescent="0.25">
      <c r="A80" s="185" t="s">
        <v>538</v>
      </c>
      <c r="B80" s="168" t="str">
        <f t="shared" si="5"/>
        <v>Le nombre de déposants doit être non-nul puisque des dépôts assurables sont présents pour cette catégorie d'assurance (200-070-04 &amp; 200-070-05)</v>
      </c>
      <c r="C80" s="244" t="s">
        <v>463</v>
      </c>
      <c r="D80" s="155">
        <f>_20007004+_20007005</f>
        <v>0</v>
      </c>
      <c r="E80" s="180">
        <f>_20007001</f>
        <v>0</v>
      </c>
      <c r="F80" s="158">
        <f t="shared" si="13"/>
        <v>0</v>
      </c>
      <c r="G80" s="225" t="s">
        <v>191</v>
      </c>
      <c r="H80" s="223" t="s">
        <v>456</v>
      </c>
      <c r="I80" s="230" t="s">
        <v>463</v>
      </c>
      <c r="J80" s="157">
        <v>20007004</v>
      </c>
    </row>
    <row r="81" spans="1:10" x14ac:dyDescent="0.25">
      <c r="A81" s="185" t="s">
        <v>64</v>
      </c>
      <c r="B81" s="168" t="str">
        <f t="shared" si="5"/>
        <v>Le nombre de déposants &gt; 100 000 $ doit être non-nul puisque des dépôts assurables &gt; 100 000 $ sont présents pour cette catégorie d'assurance (200-070-05)</v>
      </c>
      <c r="C81" s="244" t="s">
        <v>313</v>
      </c>
      <c r="D81" s="155">
        <f>_20007005</f>
        <v>0</v>
      </c>
      <c r="E81" s="180">
        <f>_20007002</f>
        <v>0</v>
      </c>
      <c r="F81" s="158">
        <f t="shared" si="13"/>
        <v>0</v>
      </c>
      <c r="G81" s="225" t="s">
        <v>191</v>
      </c>
      <c r="H81" s="223" t="s">
        <v>213</v>
      </c>
      <c r="I81" s="230" t="s">
        <v>313</v>
      </c>
      <c r="J81" s="157">
        <v>20007005</v>
      </c>
    </row>
    <row r="82" spans="1:10" x14ac:dyDescent="0.25">
      <c r="A82" s="185" t="s">
        <v>539</v>
      </c>
      <c r="B82" s="168" t="str">
        <f t="shared" si="5"/>
        <v>Le nombre de déposants doit être non-nul puisque des dépôts assurables sont présents pour cette catégorie d'assurance (200-080-04 &amp; 200-080-05)</v>
      </c>
      <c r="C82" s="244" t="s">
        <v>464</v>
      </c>
      <c r="D82" s="155">
        <f>_20008004+_20008005</f>
        <v>0</v>
      </c>
      <c r="E82" s="180">
        <f>_20008001</f>
        <v>0</v>
      </c>
      <c r="F82" s="158">
        <f t="shared" si="13"/>
        <v>0</v>
      </c>
      <c r="G82" s="225" t="s">
        <v>191</v>
      </c>
      <c r="H82" s="223" t="s">
        <v>457</v>
      </c>
      <c r="I82" s="230" t="s">
        <v>464</v>
      </c>
      <c r="J82" s="157">
        <v>20008004</v>
      </c>
    </row>
    <row r="83" spans="1:10" x14ac:dyDescent="0.25">
      <c r="A83" s="185" t="s">
        <v>540</v>
      </c>
      <c r="B83" s="168" t="str">
        <f t="shared" si="5"/>
        <v>Le nombre de déposants &gt; 100 000 $ doit être non-nul puisque des dépôts assurables &gt; 100 000 $ sont présents pour cette catégorie d'assurance (200-080-05)</v>
      </c>
      <c r="C83" s="244" t="s">
        <v>314</v>
      </c>
      <c r="D83" s="155">
        <f>_20008005</f>
        <v>0</v>
      </c>
      <c r="E83" s="150">
        <f>_20008002</f>
        <v>0</v>
      </c>
      <c r="F83" s="146">
        <f t="shared" si="13"/>
        <v>0</v>
      </c>
      <c r="G83" s="225" t="s">
        <v>191</v>
      </c>
      <c r="H83" s="223" t="s">
        <v>214</v>
      </c>
      <c r="I83" s="230" t="s">
        <v>314</v>
      </c>
      <c r="J83" s="157">
        <v>20008005</v>
      </c>
    </row>
    <row r="84" spans="1:10" x14ac:dyDescent="0.25">
      <c r="A84" s="185" t="s">
        <v>541</v>
      </c>
      <c r="B84" s="168" t="str">
        <f t="shared" ref="B84:B85" si="14">IF(LangueChoisie=LangueFR,H84,I84)</f>
        <v>Le nombre de déposants doit être non-nul puisque des dépôts assurables sont présents pour cette catégorie d'assurance (200-085-04 &amp; 200-085-05)</v>
      </c>
      <c r="C84" s="244" t="s">
        <v>314</v>
      </c>
      <c r="D84" s="155">
        <f>_20008504+_20008505</f>
        <v>0</v>
      </c>
      <c r="E84" s="150">
        <f>_20008501</f>
        <v>0</v>
      </c>
      <c r="F84" s="146">
        <f t="shared" ref="F84:F85" si="15">IF(AND(D84=0,E84&gt;0),1,0)</f>
        <v>0</v>
      </c>
      <c r="G84" s="225" t="s">
        <v>191</v>
      </c>
      <c r="H84" s="223" t="s">
        <v>703</v>
      </c>
      <c r="I84" s="230" t="s">
        <v>705</v>
      </c>
      <c r="J84" s="157">
        <v>20008504</v>
      </c>
    </row>
    <row r="85" spans="1:10" x14ac:dyDescent="0.25">
      <c r="A85" s="185" t="s">
        <v>542</v>
      </c>
      <c r="B85" s="168" t="str">
        <f t="shared" si="14"/>
        <v>Le nombre de déposants &gt; 100 000 $ doit être non-nul puisque des dépôts assurables &gt; 100 000 $ sont présents pour cette catégorie d'assurance (200-085-05)</v>
      </c>
      <c r="C85" s="244" t="s">
        <v>314</v>
      </c>
      <c r="D85" s="155">
        <f>_20008505</f>
        <v>0</v>
      </c>
      <c r="E85" s="150">
        <f>_20008502</f>
        <v>0</v>
      </c>
      <c r="F85" s="146">
        <f t="shared" si="15"/>
        <v>0</v>
      </c>
      <c r="G85" s="225" t="s">
        <v>191</v>
      </c>
      <c r="H85" s="223" t="s">
        <v>708</v>
      </c>
      <c r="I85" s="230" t="s">
        <v>707</v>
      </c>
      <c r="J85" s="157">
        <v>20008505</v>
      </c>
    </row>
    <row r="86" spans="1:10" x14ac:dyDescent="0.25">
      <c r="A86" s="185" t="s">
        <v>543</v>
      </c>
      <c r="B86" s="168" t="str">
        <f t="shared" ref="B86:B87" si="16">IF(LangueChoisie=LangueFR,H86,I86)</f>
        <v>Le nombre de déposants doit être non-nul puisque des dépôts assurables sont présents pour cette catégorie d'assurance (200-086-04 &amp; 200-086-05)</v>
      </c>
      <c r="C86" s="244" t="s">
        <v>314</v>
      </c>
      <c r="D86" s="155">
        <f>_20008604+_20008605</f>
        <v>0</v>
      </c>
      <c r="E86" s="150">
        <f>_20008601</f>
        <v>0</v>
      </c>
      <c r="F86" s="146">
        <f t="shared" ref="F86:F87" si="17">IF(AND(D86=0,E86&gt;0),1,0)</f>
        <v>0</v>
      </c>
      <c r="G86" s="225" t="s">
        <v>191</v>
      </c>
      <c r="H86" s="223" t="s">
        <v>711</v>
      </c>
      <c r="I86" s="230" t="s">
        <v>712</v>
      </c>
      <c r="J86" s="157">
        <v>20008604</v>
      </c>
    </row>
    <row r="87" spans="1:10" x14ac:dyDescent="0.25">
      <c r="A87" s="185" t="s">
        <v>544</v>
      </c>
      <c r="B87" s="168" t="str">
        <f t="shared" si="16"/>
        <v>Le nombre de déposants &gt; 100 000 $ doit être non-nul puisque des dépôts assurables &gt; 100 000 $ sont présents pour cette catégorie d'assurance (200-086-05)</v>
      </c>
      <c r="C87" s="244" t="s">
        <v>314</v>
      </c>
      <c r="D87" s="155">
        <f>_20008605</f>
        <v>0</v>
      </c>
      <c r="E87" s="150">
        <f>_20008602</f>
        <v>0</v>
      </c>
      <c r="F87" s="146">
        <f t="shared" si="17"/>
        <v>0</v>
      </c>
      <c r="G87" s="225" t="s">
        <v>191</v>
      </c>
      <c r="H87" s="223" t="s">
        <v>704</v>
      </c>
      <c r="I87" s="230" t="s">
        <v>706</v>
      </c>
      <c r="J87" s="157">
        <v>20008605</v>
      </c>
    </row>
    <row r="88" spans="1:10" x14ac:dyDescent="0.25">
      <c r="A88" s="185" t="s">
        <v>545</v>
      </c>
      <c r="B88" s="168" t="str">
        <f t="shared" ref="B88:B89" si="18">IF(LangueChoisie=LangueFR,H88,I88)</f>
        <v>Le nombre de déposants doit être non-nul puisque des dépôts assurables sont présents pour cette catégorie d'assurance (200-087-04 &amp; 200-087-05)</v>
      </c>
      <c r="C88" s="244" t="s">
        <v>314</v>
      </c>
      <c r="D88" s="155">
        <f>_20008704+_20008705</f>
        <v>0</v>
      </c>
      <c r="E88" s="150">
        <f>_20008701</f>
        <v>0</v>
      </c>
      <c r="F88" s="146">
        <f t="shared" ref="F88:F89" si="19">IF(AND(D88=0,E88&gt;0),1,0)</f>
        <v>0</v>
      </c>
      <c r="G88" s="225" t="s">
        <v>191</v>
      </c>
      <c r="H88" s="223" t="s">
        <v>851</v>
      </c>
      <c r="I88" s="230" t="s">
        <v>853</v>
      </c>
      <c r="J88" s="157">
        <v>20008704</v>
      </c>
    </row>
    <row r="89" spans="1:10" x14ac:dyDescent="0.25">
      <c r="A89" s="185" t="s">
        <v>546</v>
      </c>
      <c r="B89" s="168" t="str">
        <f t="shared" si="18"/>
        <v>Le nombre de déposants &gt; 100 000 $ doit être non-nul puisque des dépôts assurables &gt; 100 000 $ sont présents pour cette catégorie d'assurance (200-087-05)</v>
      </c>
      <c r="C89" s="244" t="s">
        <v>314</v>
      </c>
      <c r="D89" s="155">
        <f>_20008705</f>
        <v>0</v>
      </c>
      <c r="E89" s="150">
        <f>_20008702</f>
        <v>0</v>
      </c>
      <c r="F89" s="146">
        <f t="shared" si="19"/>
        <v>0</v>
      </c>
      <c r="G89" s="225" t="s">
        <v>191</v>
      </c>
      <c r="H89" s="223" t="s">
        <v>850</v>
      </c>
      <c r="I89" s="230" t="s">
        <v>852</v>
      </c>
      <c r="J89" s="157">
        <v>20008705</v>
      </c>
    </row>
    <row r="90" spans="1:10" x14ac:dyDescent="0.25">
      <c r="A90" s="185" t="s">
        <v>547</v>
      </c>
      <c r="B90" s="168" t="str">
        <f t="shared" si="5"/>
        <v>Le nombre de déposants ≤ 100 000 $ doit être nul puisqu'aucun dépôt assurable ≤ 100 000 $ n'est présent pour cette catégorie d'assurance (200-010-04)</v>
      </c>
      <c r="C90" s="244" t="s">
        <v>292</v>
      </c>
      <c r="D90" s="155">
        <f>_20001004</f>
        <v>0</v>
      </c>
      <c r="E90" s="150">
        <f>_20001001</f>
        <v>0</v>
      </c>
      <c r="F90" s="146">
        <f>IF(AND(D90&gt;0,E90=0),1,0)</f>
        <v>0</v>
      </c>
      <c r="G90" s="225" t="s">
        <v>191</v>
      </c>
      <c r="H90" s="223" t="s">
        <v>215</v>
      </c>
      <c r="I90" s="230" t="s">
        <v>292</v>
      </c>
      <c r="J90" s="157">
        <v>20001004</v>
      </c>
    </row>
    <row r="91" spans="1:10" x14ac:dyDescent="0.25">
      <c r="A91" s="185" t="s">
        <v>65</v>
      </c>
      <c r="B91" s="168" t="str">
        <f t="shared" si="5"/>
        <v>Le nombre de déposants &gt; 100 000 $ doit être nul puisqu'aucun dépôt assurable &gt; 100 000 $ n'est présent pour cette catégorie d'assurance (200-010-05)</v>
      </c>
      <c r="C91" s="244" t="s">
        <v>315</v>
      </c>
      <c r="D91" s="155">
        <f>_20001005</f>
        <v>0</v>
      </c>
      <c r="E91" s="150">
        <f>_20001002</f>
        <v>0</v>
      </c>
      <c r="F91" s="146">
        <f t="shared" ref="F91:F105" si="20">IF(AND(D91&gt;0,E91=0),1,0)</f>
        <v>0</v>
      </c>
      <c r="G91" s="225" t="s">
        <v>191</v>
      </c>
      <c r="H91" s="223" t="s">
        <v>216</v>
      </c>
      <c r="I91" s="230" t="s">
        <v>315</v>
      </c>
      <c r="J91" s="157">
        <v>20001005</v>
      </c>
    </row>
    <row r="92" spans="1:10" x14ac:dyDescent="0.25">
      <c r="A92" s="185" t="s">
        <v>548</v>
      </c>
      <c r="B92" s="168" t="str">
        <f t="shared" si="5"/>
        <v>Le nombre de déposants ≤ 100 000 $ doit être nul puisqu'aucun dépôt assurable ≤ 100 000 $ n'est présent pour cette catégorie d'assurance (200-020-04)</v>
      </c>
      <c r="C92" s="244" t="s">
        <v>300</v>
      </c>
      <c r="D92" s="155">
        <f>_20002004</f>
        <v>0</v>
      </c>
      <c r="E92" s="150">
        <f>_20002001</f>
        <v>0</v>
      </c>
      <c r="F92" s="146">
        <f t="shared" si="20"/>
        <v>0</v>
      </c>
      <c r="G92" s="225" t="s">
        <v>191</v>
      </c>
      <c r="H92" s="223" t="s">
        <v>217</v>
      </c>
      <c r="I92" s="230" t="s">
        <v>300</v>
      </c>
      <c r="J92" s="157">
        <v>20002004</v>
      </c>
    </row>
    <row r="93" spans="1:10" x14ac:dyDescent="0.25">
      <c r="A93" s="185" t="s">
        <v>549</v>
      </c>
      <c r="B93" s="168" t="str">
        <f t="shared" si="5"/>
        <v>Le nombre de déposants &gt; 100 000 $ doit être nul puisqu'aucun dépôt assurable &gt; 100 000 $ n'est présent pour cette catégorie d'assurance (200-020-05)</v>
      </c>
      <c r="C93" s="244" t="s">
        <v>316</v>
      </c>
      <c r="D93" s="155">
        <f>_20002005</f>
        <v>0</v>
      </c>
      <c r="E93" s="150">
        <f>_20002002</f>
        <v>0</v>
      </c>
      <c r="F93" s="146">
        <f t="shared" si="20"/>
        <v>0</v>
      </c>
      <c r="G93" s="225" t="s">
        <v>191</v>
      </c>
      <c r="H93" s="223" t="s">
        <v>218</v>
      </c>
      <c r="I93" s="230" t="s">
        <v>316</v>
      </c>
      <c r="J93" s="157">
        <v>20002005</v>
      </c>
    </row>
    <row r="94" spans="1:10" x14ac:dyDescent="0.25">
      <c r="A94" s="185" t="s">
        <v>550</v>
      </c>
      <c r="B94" s="168" t="str">
        <f t="shared" si="5"/>
        <v>Le nombre de déposants ≤ 100 000 $ doit être nul puisqu'aucun dépôt assurable ≤ 100 000 $ n'est présent pour cette catégorie d'assurance (200-030-04)</v>
      </c>
      <c r="C94" s="244" t="s">
        <v>301</v>
      </c>
      <c r="D94" s="155">
        <f>_20003004</f>
        <v>0</v>
      </c>
      <c r="E94" s="150">
        <f>_20003001</f>
        <v>0</v>
      </c>
      <c r="F94" s="146">
        <f t="shared" si="20"/>
        <v>0</v>
      </c>
      <c r="G94" s="225" t="s">
        <v>191</v>
      </c>
      <c r="H94" s="223" t="s">
        <v>219</v>
      </c>
      <c r="I94" s="230" t="s">
        <v>301</v>
      </c>
      <c r="J94" s="157">
        <v>20003004</v>
      </c>
    </row>
    <row r="95" spans="1:10" x14ac:dyDescent="0.25">
      <c r="A95" s="185" t="s">
        <v>551</v>
      </c>
      <c r="B95" s="168" t="str">
        <f t="shared" si="5"/>
        <v>Le nombre de déposants &gt; 100 000 $ doit être nul puisqu'aucun dépôt assurable &gt; 100 000 $ n'est présent pour cette catégorie d'assurance (200-030-05)</v>
      </c>
      <c r="C95" s="244" t="s">
        <v>317</v>
      </c>
      <c r="D95" s="155">
        <f>_20003005</f>
        <v>0</v>
      </c>
      <c r="E95" s="150">
        <f>_20003002</f>
        <v>0</v>
      </c>
      <c r="F95" s="146">
        <f t="shared" si="20"/>
        <v>0</v>
      </c>
      <c r="G95" s="225" t="s">
        <v>191</v>
      </c>
      <c r="H95" s="223" t="s">
        <v>220</v>
      </c>
      <c r="I95" s="230" t="s">
        <v>317</v>
      </c>
      <c r="J95" s="157">
        <v>20003005</v>
      </c>
    </row>
    <row r="96" spans="1:10" x14ac:dyDescent="0.25">
      <c r="A96" s="185" t="s">
        <v>552</v>
      </c>
      <c r="B96" s="168" t="str">
        <f t="shared" si="5"/>
        <v>Le nombre de déposants ≤ 100 000 $ doit être nul puisqu'aucun dépôt assurable ≤ 100 000 $ n'est présent pour cette catégorie d'assurance (200-040-04)</v>
      </c>
      <c r="C96" s="244" t="s">
        <v>302</v>
      </c>
      <c r="D96" s="155">
        <f>_20004004</f>
        <v>0</v>
      </c>
      <c r="E96" s="150">
        <f>_20004001</f>
        <v>0</v>
      </c>
      <c r="F96" s="146">
        <f t="shared" si="20"/>
        <v>0</v>
      </c>
      <c r="G96" s="225" t="s">
        <v>191</v>
      </c>
      <c r="H96" s="223" t="s">
        <v>221</v>
      </c>
      <c r="I96" s="230" t="s">
        <v>302</v>
      </c>
      <c r="J96" s="157">
        <v>20004004</v>
      </c>
    </row>
    <row r="97" spans="1:10" x14ac:dyDescent="0.25">
      <c r="A97" s="185" t="s">
        <v>553</v>
      </c>
      <c r="B97" s="168" t="str">
        <f t="shared" si="5"/>
        <v>Le nombre de déposants &gt; 100 000 $ doit être nul puisqu'aucun dépôt assurable &gt; 100 000 $ n'est présent pour cette catégorie d'assurance (200-040-05)</v>
      </c>
      <c r="C97" s="244" t="s">
        <v>318</v>
      </c>
      <c r="D97" s="155">
        <f>_20004005</f>
        <v>0</v>
      </c>
      <c r="E97" s="150">
        <f>_20004002</f>
        <v>0</v>
      </c>
      <c r="F97" s="146">
        <f t="shared" si="20"/>
        <v>0</v>
      </c>
      <c r="G97" s="225" t="s">
        <v>191</v>
      </c>
      <c r="H97" s="223" t="s">
        <v>222</v>
      </c>
      <c r="I97" s="230" t="s">
        <v>318</v>
      </c>
      <c r="J97" s="157">
        <v>20004005</v>
      </c>
    </row>
    <row r="98" spans="1:10" x14ac:dyDescent="0.25">
      <c r="A98" s="185" t="s">
        <v>554</v>
      </c>
      <c r="B98" s="168" t="str">
        <f t="shared" si="5"/>
        <v>Le nombre de déposants ≤ 100 000 $ doit être nul puisqu'aucun dépôt assurable ≤ 100 000 $ n'est présent pour cette catégorie d'assurance (200-050-04)</v>
      </c>
      <c r="C98" s="244" t="s">
        <v>303</v>
      </c>
      <c r="D98" s="155">
        <f>_20005004</f>
        <v>0</v>
      </c>
      <c r="E98" s="150">
        <f>_20005001</f>
        <v>0</v>
      </c>
      <c r="F98" s="146">
        <f t="shared" si="20"/>
        <v>0</v>
      </c>
      <c r="G98" s="225" t="s">
        <v>191</v>
      </c>
      <c r="H98" s="223" t="s">
        <v>223</v>
      </c>
      <c r="I98" s="230" t="s">
        <v>303</v>
      </c>
      <c r="J98" s="157">
        <v>20005004</v>
      </c>
    </row>
    <row r="99" spans="1:10" x14ac:dyDescent="0.25">
      <c r="A99" s="185" t="s">
        <v>555</v>
      </c>
      <c r="B99" s="168" t="str">
        <f t="shared" si="5"/>
        <v>Le nombre de déposants &gt; 100 000 $ doit être nul puisqu'aucun dépôt assurable &gt; 100 000 $ n'est présent pour cette catégorie d'assurance (200-050-05)</v>
      </c>
      <c r="C99" s="244" t="s">
        <v>319</v>
      </c>
      <c r="D99" s="155">
        <f>_20005005</f>
        <v>0</v>
      </c>
      <c r="E99" s="150">
        <f>_20005002</f>
        <v>0</v>
      </c>
      <c r="F99" s="146">
        <f t="shared" si="20"/>
        <v>0</v>
      </c>
      <c r="G99" s="225" t="s">
        <v>191</v>
      </c>
      <c r="H99" s="223" t="s">
        <v>224</v>
      </c>
      <c r="I99" s="230" t="s">
        <v>319</v>
      </c>
      <c r="J99" s="157">
        <v>20005005</v>
      </c>
    </row>
    <row r="100" spans="1:10" x14ac:dyDescent="0.25">
      <c r="A100" s="185" t="s">
        <v>556</v>
      </c>
      <c r="B100" s="168" t="str">
        <f t="shared" si="5"/>
        <v>Le nombre de déposants ≤ 100 000 $ doit être nul puisqu'aucun dépôt assurable ≤ 100 000 $ n'est présent pour cette catégorie d'assurance (200-060-04)</v>
      </c>
      <c r="C100" s="244" t="s">
        <v>304</v>
      </c>
      <c r="D100" s="155">
        <f>_20006004</f>
        <v>0</v>
      </c>
      <c r="E100" s="150">
        <f>_20006001</f>
        <v>0</v>
      </c>
      <c r="F100" s="146">
        <f t="shared" si="20"/>
        <v>0</v>
      </c>
      <c r="G100" s="225" t="s">
        <v>191</v>
      </c>
      <c r="H100" s="223" t="s">
        <v>225</v>
      </c>
      <c r="I100" s="230" t="s">
        <v>304</v>
      </c>
      <c r="J100" s="157">
        <v>20006004</v>
      </c>
    </row>
    <row r="101" spans="1:10" x14ac:dyDescent="0.25">
      <c r="A101" s="185" t="s">
        <v>557</v>
      </c>
      <c r="B101" s="168" t="str">
        <f t="shared" si="5"/>
        <v>Le nombre de déposants &gt; 100 000 $ doit être nul puisqu'aucun dépôt assurable &gt; 100 000 $ n'est présent pour cette catégorie d'assurance (200-060-05)</v>
      </c>
      <c r="C101" s="244" t="s">
        <v>320</v>
      </c>
      <c r="D101" s="155">
        <f>_20006005</f>
        <v>0</v>
      </c>
      <c r="E101" s="150">
        <f>_20006002</f>
        <v>0</v>
      </c>
      <c r="F101" s="146">
        <f t="shared" si="20"/>
        <v>0</v>
      </c>
      <c r="G101" s="225" t="s">
        <v>191</v>
      </c>
      <c r="H101" s="223" t="s">
        <v>226</v>
      </c>
      <c r="I101" s="230" t="s">
        <v>320</v>
      </c>
      <c r="J101" s="157">
        <v>20006005</v>
      </c>
    </row>
    <row r="102" spans="1:10" x14ac:dyDescent="0.25">
      <c r="A102" s="185" t="s">
        <v>558</v>
      </c>
      <c r="B102" s="168" t="str">
        <f t="shared" si="5"/>
        <v>Le nombre de déposants ≤ 100 000 $ doit être nul puisqu'aucun dépôt assurable ≤ 100 000 $ n'est présent pour cette catégorie d'assurance (200-070-04)</v>
      </c>
      <c r="C102" s="244" t="s">
        <v>305</v>
      </c>
      <c r="D102" s="155">
        <f>_20007004</f>
        <v>0</v>
      </c>
      <c r="E102" s="150">
        <f>_20007001</f>
        <v>0</v>
      </c>
      <c r="F102" s="146">
        <f t="shared" si="20"/>
        <v>0</v>
      </c>
      <c r="G102" s="225" t="s">
        <v>191</v>
      </c>
      <c r="H102" s="223" t="s">
        <v>227</v>
      </c>
      <c r="I102" s="230" t="s">
        <v>305</v>
      </c>
      <c r="J102" s="157">
        <v>20007004</v>
      </c>
    </row>
    <row r="103" spans="1:10" x14ac:dyDescent="0.25">
      <c r="A103" s="185" t="s">
        <v>559</v>
      </c>
      <c r="B103" s="168" t="str">
        <f t="shared" si="5"/>
        <v>Le nombre de déposants &gt; 100 000 $ doit être nul puisqu'aucun dépôt assurable &gt; 100 000 $ n'est présent pour cette catégorie d'assurance (200-070-05)</v>
      </c>
      <c r="C103" s="244" t="s">
        <v>321</v>
      </c>
      <c r="D103" s="155">
        <f>_20007005</f>
        <v>0</v>
      </c>
      <c r="E103" s="150">
        <f>_20007002</f>
        <v>0</v>
      </c>
      <c r="F103" s="146">
        <f t="shared" si="20"/>
        <v>0</v>
      </c>
      <c r="G103" s="225" t="s">
        <v>191</v>
      </c>
      <c r="H103" s="223" t="s">
        <v>228</v>
      </c>
      <c r="I103" s="230" t="s">
        <v>321</v>
      </c>
      <c r="J103" s="157">
        <v>20007005</v>
      </c>
    </row>
    <row r="104" spans="1:10" x14ac:dyDescent="0.25">
      <c r="A104" s="185" t="s">
        <v>560</v>
      </c>
      <c r="B104" s="168" t="str">
        <f t="shared" si="5"/>
        <v>Le nombre de déposants ≤ 100 000 $ doit être nul puisqu'aucun dépôt assurable ≤ 100 000 $ n'est présent pour cette catégorie d'assurance (200-080-04)</v>
      </c>
      <c r="C104" s="244" t="s">
        <v>306</v>
      </c>
      <c r="D104" s="155">
        <f>_20008004</f>
        <v>0</v>
      </c>
      <c r="E104" s="150">
        <f>_20008001</f>
        <v>0</v>
      </c>
      <c r="F104" s="146">
        <f t="shared" si="20"/>
        <v>0</v>
      </c>
      <c r="G104" s="225" t="s">
        <v>191</v>
      </c>
      <c r="H104" s="223" t="s">
        <v>229</v>
      </c>
      <c r="I104" s="230" t="s">
        <v>306</v>
      </c>
      <c r="J104" s="157">
        <v>20008004</v>
      </c>
    </row>
    <row r="105" spans="1:10" x14ac:dyDescent="0.25">
      <c r="A105" s="185" t="s">
        <v>561</v>
      </c>
      <c r="B105" s="168" t="str">
        <f t="shared" si="5"/>
        <v>Le nombre de déposants &gt; 100 000 $ doit être nul puisqu'aucun dépôt assurable &gt; 100 000 $ n'est présent pour cette catégorie d'assurance (200-080-05)</v>
      </c>
      <c r="C105" s="244" t="s">
        <v>322</v>
      </c>
      <c r="D105" s="155">
        <f>_20008005</f>
        <v>0</v>
      </c>
      <c r="E105" s="150">
        <f>_20008002</f>
        <v>0</v>
      </c>
      <c r="F105" s="146">
        <f t="shared" si="20"/>
        <v>0</v>
      </c>
      <c r="G105" s="225" t="s">
        <v>191</v>
      </c>
      <c r="H105" s="223" t="s">
        <v>230</v>
      </c>
      <c r="I105" s="230" t="s">
        <v>322</v>
      </c>
      <c r="J105" s="157">
        <v>20008005</v>
      </c>
    </row>
    <row r="106" spans="1:10" x14ac:dyDescent="0.25">
      <c r="A106" s="185" t="s">
        <v>562</v>
      </c>
      <c r="B106" s="168" t="str">
        <f t="shared" ref="B106:B109" si="21">IF(LangueChoisie=LangueFR,H106,I106)</f>
        <v>Le nombre de déposants ≤ 100 000 $ doit être nul puisqu'aucun dépôt assurable ≤ 100 000 $ n'est présent pour cette catégorie d'assurance (200-085-04)</v>
      </c>
      <c r="C106" s="244" t="s">
        <v>322</v>
      </c>
      <c r="D106" s="155">
        <f>_20008504</f>
        <v>0</v>
      </c>
      <c r="E106" s="150">
        <f>_20008501</f>
        <v>0</v>
      </c>
      <c r="F106" s="146">
        <f t="shared" ref="F106:F109" si="22">IF(AND(D106&gt;0,E106=0),1,0)</f>
        <v>0</v>
      </c>
      <c r="G106" s="225" t="s">
        <v>191</v>
      </c>
      <c r="H106" s="223" t="s">
        <v>716</v>
      </c>
      <c r="I106" s="230" t="s">
        <v>720</v>
      </c>
      <c r="J106" s="157">
        <v>20008504</v>
      </c>
    </row>
    <row r="107" spans="1:10" x14ac:dyDescent="0.25">
      <c r="A107" s="185" t="s">
        <v>563</v>
      </c>
      <c r="B107" s="168" t="str">
        <f t="shared" si="21"/>
        <v>Le nombre de déposants &gt; 100 000 $ doit être nul puisqu'aucun dépôt assurable &gt; 100 000 $ n'est présent pour cette catégorie d'assurance (200-085-05)</v>
      </c>
      <c r="C107" s="244" t="s">
        <v>322</v>
      </c>
      <c r="D107" s="155">
        <f>_20008505</f>
        <v>0</v>
      </c>
      <c r="E107" s="150">
        <f>_20008502</f>
        <v>0</v>
      </c>
      <c r="F107" s="146">
        <f t="shared" si="22"/>
        <v>0</v>
      </c>
      <c r="G107" s="225" t="s">
        <v>191</v>
      </c>
      <c r="H107" s="223" t="s">
        <v>717</v>
      </c>
      <c r="I107" s="230" t="s">
        <v>721</v>
      </c>
      <c r="J107" s="157">
        <v>20008505</v>
      </c>
    </row>
    <row r="108" spans="1:10" x14ac:dyDescent="0.25">
      <c r="A108" s="185" t="s">
        <v>564</v>
      </c>
      <c r="B108" s="168" t="str">
        <f t="shared" si="21"/>
        <v>Le nombre de déposants ≤ 100 000 $ doit être nul puisqu'aucun dépôt assurable ≤ 100 000 $ n'est présent pour cette catégorie d'assurance (200-086-04)</v>
      </c>
      <c r="C108" s="244" t="s">
        <v>322</v>
      </c>
      <c r="D108" s="155">
        <f>_20008604</f>
        <v>0</v>
      </c>
      <c r="E108" s="150">
        <f>_20008601</f>
        <v>0</v>
      </c>
      <c r="F108" s="146">
        <f t="shared" si="22"/>
        <v>0</v>
      </c>
      <c r="G108" s="225" t="s">
        <v>191</v>
      </c>
      <c r="H108" s="223" t="s">
        <v>718</v>
      </c>
      <c r="I108" s="230" t="s">
        <v>722</v>
      </c>
      <c r="J108" s="157">
        <v>20008604</v>
      </c>
    </row>
    <row r="109" spans="1:10" x14ac:dyDescent="0.25">
      <c r="A109" s="185" t="s">
        <v>565</v>
      </c>
      <c r="B109" s="168" t="str">
        <f t="shared" si="21"/>
        <v>Le nombre de déposants &gt; 100 000 $ doit être nul puisqu'aucun dépôt assurable &gt; 100 000 $ n'est présent pour cette catégorie d'assurance (200-086-05)</v>
      </c>
      <c r="C109" s="244" t="s">
        <v>322</v>
      </c>
      <c r="D109" s="155">
        <f>_20008605</f>
        <v>0</v>
      </c>
      <c r="E109" s="150">
        <f>_20008602</f>
        <v>0</v>
      </c>
      <c r="F109" s="146">
        <f t="shared" si="22"/>
        <v>0</v>
      </c>
      <c r="G109" s="225" t="s">
        <v>191</v>
      </c>
      <c r="H109" s="223" t="s">
        <v>719</v>
      </c>
      <c r="I109" s="230" t="s">
        <v>723</v>
      </c>
      <c r="J109" s="157">
        <v>20008605</v>
      </c>
    </row>
    <row r="110" spans="1:10" x14ac:dyDescent="0.25">
      <c r="A110" s="185" t="s">
        <v>566</v>
      </c>
      <c r="B110" s="168" t="str">
        <f t="shared" ref="B110:B111" si="23">IF(LangueChoisie=LangueFR,H110,I110)</f>
        <v>Le nombre de déposants ≤ 100 000 $ doit être nul puisqu'aucun dépôt assurable ≤ 100 000 $ n'est présent pour cette catégorie d'assurance (200-087-04)</v>
      </c>
      <c r="C110" s="244" t="s">
        <v>322</v>
      </c>
      <c r="D110" s="155">
        <f>_20008704</f>
        <v>0</v>
      </c>
      <c r="E110" s="150">
        <f>_20008701</f>
        <v>0</v>
      </c>
      <c r="F110" s="146">
        <f t="shared" ref="F110:F111" si="24">IF(AND(D110&gt;0,E110=0),1,0)</f>
        <v>0</v>
      </c>
      <c r="G110" s="225" t="s">
        <v>191</v>
      </c>
      <c r="H110" s="223" t="s">
        <v>854</v>
      </c>
      <c r="I110" s="230" t="s">
        <v>856</v>
      </c>
      <c r="J110" s="157">
        <v>20008704</v>
      </c>
    </row>
    <row r="111" spans="1:10" x14ac:dyDescent="0.25">
      <c r="A111" s="185" t="s">
        <v>567</v>
      </c>
      <c r="B111" s="168" t="str">
        <f t="shared" si="23"/>
        <v>Le nombre de déposants &gt; 100 000 $ doit être nul puisqu'aucun dépôt assurable &gt; 100 000 $ n'est présent pour cette catégorie d'assurance (200-087-05)</v>
      </c>
      <c r="C111" s="244" t="s">
        <v>322</v>
      </c>
      <c r="D111" s="155">
        <f>_20008705</f>
        <v>0</v>
      </c>
      <c r="E111" s="150">
        <f>_20008702</f>
        <v>0</v>
      </c>
      <c r="F111" s="146">
        <f t="shared" si="24"/>
        <v>0</v>
      </c>
      <c r="G111" s="225" t="s">
        <v>191</v>
      </c>
      <c r="H111" s="223" t="s">
        <v>855</v>
      </c>
      <c r="I111" s="230" t="s">
        <v>857</v>
      </c>
      <c r="J111" s="157">
        <v>20008705</v>
      </c>
    </row>
    <row r="112" spans="1:10" x14ac:dyDescent="0.25">
      <c r="A112" s="185" t="s">
        <v>568</v>
      </c>
      <c r="B112" s="168" t="str">
        <f t="shared" si="5"/>
        <v>Le total des dépôts ≤ 100 000 $ (200-090-01) ne concorde pas avec le total des dépôts garantis (100-050-03)</v>
      </c>
      <c r="C112" s="240" t="s">
        <v>323</v>
      </c>
      <c r="D112" s="150">
        <f>'200'!F34</f>
        <v>0</v>
      </c>
      <c r="E112" s="150">
        <f>'100'!J20</f>
        <v>0</v>
      </c>
      <c r="F112" s="146">
        <f t="shared" si="6"/>
        <v>0</v>
      </c>
      <c r="G112" s="225" t="s">
        <v>191</v>
      </c>
      <c r="H112" s="223" t="s">
        <v>288</v>
      </c>
      <c r="I112" s="228" t="s">
        <v>323</v>
      </c>
      <c r="J112" s="157">
        <v>20009001</v>
      </c>
    </row>
    <row r="113" spans="1:10" x14ac:dyDescent="0.25">
      <c r="A113" s="185" t="s">
        <v>569</v>
      </c>
      <c r="B113" s="168" t="str">
        <f t="shared" si="5"/>
        <v>Le total des dépôts &gt; 100 000 $ (200-090-02) ne concorde pas avec le total des dépôts &gt; 100 000 $ reçus au Québec (100-040-03)</v>
      </c>
      <c r="C113" s="240" t="s">
        <v>324</v>
      </c>
      <c r="D113" s="150">
        <f>'200'!G34</f>
        <v>0</v>
      </c>
      <c r="E113" s="150">
        <f>'100'!J17</f>
        <v>0</v>
      </c>
      <c r="F113" s="146">
        <f t="shared" si="6"/>
        <v>0</v>
      </c>
      <c r="G113" s="225" t="s">
        <v>191</v>
      </c>
      <c r="H113" s="223" t="s">
        <v>289</v>
      </c>
      <c r="I113" s="228" t="s">
        <v>324</v>
      </c>
      <c r="J113" s="157">
        <v>20009002</v>
      </c>
    </row>
    <row r="114" spans="1:10" x14ac:dyDescent="0.25">
      <c r="A114" s="185" t="s">
        <v>570</v>
      </c>
      <c r="B114" s="168" t="str">
        <f t="shared" si="5"/>
        <v>Le grand total des dépôts (200-090-03) ne concorde pas avec le total des dépôts assurables reçus au Québec (100-030-03)</v>
      </c>
      <c r="C114" s="240" t="s">
        <v>325</v>
      </c>
      <c r="D114" s="150">
        <f>'200'!H34</f>
        <v>0</v>
      </c>
      <c r="E114" s="150">
        <f>'100'!J14</f>
        <v>0</v>
      </c>
      <c r="F114" s="146">
        <f t="shared" si="6"/>
        <v>0</v>
      </c>
      <c r="G114" s="225" t="s">
        <v>191</v>
      </c>
      <c r="H114" s="223" t="s">
        <v>290</v>
      </c>
      <c r="I114" s="228" t="s">
        <v>325</v>
      </c>
      <c r="J114" s="157">
        <v>20009003</v>
      </c>
    </row>
    <row r="115" spans="1:10" x14ac:dyDescent="0.25">
      <c r="A115" s="185" t="s">
        <v>571</v>
      </c>
      <c r="B115" s="168" t="str">
        <f t="shared" si="5"/>
        <v>Le champ 200-010-01 est obligatoire (indiquer 0 si nul)</v>
      </c>
      <c r="C115" s="240" t="s">
        <v>384</v>
      </c>
      <c r="D115" s="145">
        <f>LEN('200'!F9)</f>
        <v>0</v>
      </c>
      <c r="E115" s="145">
        <v>0</v>
      </c>
      <c r="F115" s="146">
        <f t="shared" ref="F115:F153" si="25">IF(D115=E115,1,0)</f>
        <v>1</v>
      </c>
      <c r="G115" s="225" t="s">
        <v>191</v>
      </c>
      <c r="H115" s="228" t="s">
        <v>231</v>
      </c>
      <c r="I115" s="228" t="s">
        <v>384</v>
      </c>
      <c r="J115" s="157">
        <v>20001001</v>
      </c>
    </row>
    <row r="116" spans="1:10" x14ac:dyDescent="0.25">
      <c r="A116" s="185" t="s">
        <v>572</v>
      </c>
      <c r="B116" s="168" t="str">
        <f t="shared" si="5"/>
        <v>Le champ 200-010-02 est obligatoire (indiquer 0 si nul)</v>
      </c>
      <c r="C116" s="240" t="s">
        <v>385</v>
      </c>
      <c r="D116" s="145">
        <f>LEN('200'!G9)</f>
        <v>0</v>
      </c>
      <c r="E116" s="145">
        <v>0</v>
      </c>
      <c r="F116" s="146">
        <f t="shared" si="25"/>
        <v>1</v>
      </c>
      <c r="G116" s="225" t="s">
        <v>191</v>
      </c>
      <c r="H116" s="228" t="s">
        <v>232</v>
      </c>
      <c r="I116" s="228" t="s">
        <v>385</v>
      </c>
      <c r="J116" s="157">
        <v>20001002</v>
      </c>
    </row>
    <row r="117" spans="1:10" x14ac:dyDescent="0.25">
      <c r="A117" s="185" t="s">
        <v>573</v>
      </c>
      <c r="B117" s="168" t="str">
        <f t="shared" si="5"/>
        <v>Le champ 200-010-04 est obligatoire (indiquer 0 si nul)</v>
      </c>
      <c r="C117" s="240" t="s">
        <v>386</v>
      </c>
      <c r="D117" s="145">
        <f>LEN('200'!K9)</f>
        <v>0</v>
      </c>
      <c r="E117" s="145">
        <v>0</v>
      </c>
      <c r="F117" s="146">
        <f t="shared" si="25"/>
        <v>1</v>
      </c>
      <c r="G117" s="225" t="s">
        <v>191</v>
      </c>
      <c r="H117" s="228" t="s">
        <v>233</v>
      </c>
      <c r="I117" s="228" t="s">
        <v>386</v>
      </c>
      <c r="J117" s="157">
        <v>20001004</v>
      </c>
    </row>
    <row r="118" spans="1:10" x14ac:dyDescent="0.25">
      <c r="A118" s="185" t="s">
        <v>574</v>
      </c>
      <c r="B118" s="168" t="str">
        <f t="shared" si="5"/>
        <v>Le champ 200-010-05 est obligatoire (indiquer 0 si nul)</v>
      </c>
      <c r="C118" s="240" t="s">
        <v>387</v>
      </c>
      <c r="D118" s="145">
        <f>LEN('200'!L9)</f>
        <v>0</v>
      </c>
      <c r="E118" s="145">
        <v>0</v>
      </c>
      <c r="F118" s="146">
        <f t="shared" si="25"/>
        <v>1</v>
      </c>
      <c r="G118" s="225" t="s">
        <v>191</v>
      </c>
      <c r="H118" s="228" t="s">
        <v>234</v>
      </c>
      <c r="I118" s="228" t="s">
        <v>387</v>
      </c>
      <c r="J118" s="157">
        <v>20001005</v>
      </c>
    </row>
    <row r="119" spans="1:10" x14ac:dyDescent="0.25">
      <c r="A119" s="185" t="s">
        <v>575</v>
      </c>
      <c r="B119" s="168" t="str">
        <f>IF(LangueChoisie=LangueFR,H119,I119)</f>
        <v>Le champ 200-010-06 est obligatoire (indiquer 0 si nul)</v>
      </c>
      <c r="C119" s="240" t="s">
        <v>622</v>
      </c>
      <c r="D119" s="233">
        <f>LEN(_20001006)</f>
        <v>0</v>
      </c>
      <c r="E119" s="245">
        <v>0</v>
      </c>
      <c r="F119" s="217">
        <f>IF(D119=E119,1,0)</f>
        <v>1</v>
      </c>
      <c r="G119" s="225" t="s">
        <v>191</v>
      </c>
      <c r="H119" s="223" t="s">
        <v>614</v>
      </c>
      <c r="I119" s="228" t="s">
        <v>622</v>
      </c>
      <c r="J119" s="157">
        <v>20001006</v>
      </c>
    </row>
    <row r="120" spans="1:10" x14ac:dyDescent="0.25">
      <c r="A120" s="185" t="s">
        <v>576</v>
      </c>
      <c r="B120" s="168" t="str">
        <f t="shared" si="5"/>
        <v>Le champ 200-020-01 est obligatoire (indiquer 0 si nul)</v>
      </c>
      <c r="C120" s="240" t="s">
        <v>388</v>
      </c>
      <c r="D120" s="145">
        <f>LEN('200'!F11)</f>
        <v>0</v>
      </c>
      <c r="E120" s="145">
        <v>0</v>
      </c>
      <c r="F120" s="146">
        <f t="shared" si="25"/>
        <v>1</v>
      </c>
      <c r="G120" s="225" t="s">
        <v>191</v>
      </c>
      <c r="H120" s="228" t="s">
        <v>235</v>
      </c>
      <c r="I120" s="228" t="s">
        <v>388</v>
      </c>
      <c r="J120" s="157">
        <v>20002001</v>
      </c>
    </row>
    <row r="121" spans="1:10" x14ac:dyDescent="0.25">
      <c r="A121" s="185" t="s">
        <v>577</v>
      </c>
      <c r="B121" s="168" t="str">
        <f t="shared" si="5"/>
        <v>Le champ 200-020-02 est obligatoire (indiquer 0 si nul)</v>
      </c>
      <c r="C121" s="240" t="s">
        <v>389</v>
      </c>
      <c r="D121" s="145">
        <f>LEN('200'!G11)</f>
        <v>0</v>
      </c>
      <c r="E121" s="145">
        <v>0</v>
      </c>
      <c r="F121" s="146">
        <f t="shared" si="25"/>
        <v>1</v>
      </c>
      <c r="G121" s="225" t="s">
        <v>191</v>
      </c>
      <c r="H121" s="228" t="s">
        <v>236</v>
      </c>
      <c r="I121" s="228" t="s">
        <v>389</v>
      </c>
      <c r="J121" s="157">
        <v>20002002</v>
      </c>
    </row>
    <row r="122" spans="1:10" x14ac:dyDescent="0.25">
      <c r="A122" s="185" t="s">
        <v>578</v>
      </c>
      <c r="B122" s="168" t="str">
        <f t="shared" si="5"/>
        <v>Le champ 200-020-04 est obligatoire (indiquer 0 si nul)</v>
      </c>
      <c r="C122" s="240" t="s">
        <v>390</v>
      </c>
      <c r="D122" s="145">
        <f>LEN('200'!K11)</f>
        <v>0</v>
      </c>
      <c r="E122" s="145">
        <v>0</v>
      </c>
      <c r="F122" s="146">
        <f t="shared" si="25"/>
        <v>1</v>
      </c>
      <c r="G122" s="225" t="s">
        <v>191</v>
      </c>
      <c r="H122" s="228" t="s">
        <v>237</v>
      </c>
      <c r="I122" s="228" t="s">
        <v>390</v>
      </c>
      <c r="J122" s="157">
        <v>20002004</v>
      </c>
    </row>
    <row r="123" spans="1:10" x14ac:dyDescent="0.25">
      <c r="A123" s="185" t="s">
        <v>579</v>
      </c>
      <c r="B123" s="168" t="str">
        <f t="shared" si="5"/>
        <v>Le champ 200-020-05 est obligatoire (indiquer 0 si nul)</v>
      </c>
      <c r="C123" s="240" t="s">
        <v>391</v>
      </c>
      <c r="D123" s="145">
        <f>LEN('200'!L11)</f>
        <v>0</v>
      </c>
      <c r="E123" s="145">
        <v>0</v>
      </c>
      <c r="F123" s="146">
        <f t="shared" si="25"/>
        <v>1</v>
      </c>
      <c r="G123" s="225" t="s">
        <v>191</v>
      </c>
      <c r="H123" s="228" t="s">
        <v>238</v>
      </c>
      <c r="I123" s="228" t="s">
        <v>391</v>
      </c>
      <c r="J123" s="157">
        <v>20002005</v>
      </c>
    </row>
    <row r="124" spans="1:10" x14ac:dyDescent="0.25">
      <c r="A124" s="185" t="s">
        <v>580</v>
      </c>
      <c r="B124" s="168" t="str">
        <f>IF(LangueChoisie=LangueFR,H124,I124)</f>
        <v>Le champ 200-020-06 est obligatoire (indiquer 0 si nul)</v>
      </c>
      <c r="C124" s="240" t="s">
        <v>629</v>
      </c>
      <c r="D124" s="233">
        <f>LEN(_20002006)</f>
        <v>0</v>
      </c>
      <c r="E124" s="245">
        <v>0</v>
      </c>
      <c r="F124" s="217">
        <f>IF(D124=E124,1,0)</f>
        <v>1</v>
      </c>
      <c r="G124" s="225" t="s">
        <v>191</v>
      </c>
      <c r="H124" s="223" t="s">
        <v>615</v>
      </c>
      <c r="I124" s="228" t="s">
        <v>629</v>
      </c>
      <c r="J124" s="157">
        <v>20002006</v>
      </c>
    </row>
    <row r="125" spans="1:10" x14ac:dyDescent="0.25">
      <c r="A125" s="185" t="s">
        <v>581</v>
      </c>
      <c r="B125" s="168" t="str">
        <f t="shared" si="5"/>
        <v>Le champ 200-030-01 est obligatoire (indiquer 0 si nul)</v>
      </c>
      <c r="C125" s="240" t="s">
        <v>392</v>
      </c>
      <c r="D125" s="145">
        <f>LEN('200'!F13)</f>
        <v>0</v>
      </c>
      <c r="E125" s="145">
        <v>0</v>
      </c>
      <c r="F125" s="146">
        <f t="shared" si="25"/>
        <v>1</v>
      </c>
      <c r="G125" s="225" t="s">
        <v>191</v>
      </c>
      <c r="H125" s="228" t="s">
        <v>239</v>
      </c>
      <c r="I125" s="228" t="s">
        <v>392</v>
      </c>
      <c r="J125" s="157">
        <v>20003001</v>
      </c>
    </row>
    <row r="126" spans="1:10" x14ac:dyDescent="0.25">
      <c r="A126" s="185" t="s">
        <v>582</v>
      </c>
      <c r="B126" s="168" t="str">
        <f t="shared" ref="B126:B180" si="26">IF(LangueChoisie=LangueFR,H126,I126)</f>
        <v>Le champ 200-030-02 est obligatoire (indiquer 0 si nul)</v>
      </c>
      <c r="C126" s="240" t="s">
        <v>393</v>
      </c>
      <c r="D126" s="145">
        <f>LEN('200'!G13)</f>
        <v>0</v>
      </c>
      <c r="E126" s="145">
        <v>0</v>
      </c>
      <c r="F126" s="146">
        <f t="shared" si="25"/>
        <v>1</v>
      </c>
      <c r="G126" s="225" t="s">
        <v>191</v>
      </c>
      <c r="H126" s="228" t="s">
        <v>240</v>
      </c>
      <c r="I126" s="228" t="s">
        <v>393</v>
      </c>
      <c r="J126" s="157">
        <v>20003002</v>
      </c>
    </row>
    <row r="127" spans="1:10" x14ac:dyDescent="0.25">
      <c r="A127" s="185" t="s">
        <v>583</v>
      </c>
      <c r="B127" s="168" t="str">
        <f t="shared" si="26"/>
        <v>Le champ 200-030-04 est obligatoire (indiquer 0 si nul)</v>
      </c>
      <c r="C127" s="240" t="s">
        <v>394</v>
      </c>
      <c r="D127" s="145">
        <f>LEN('200'!K13)</f>
        <v>0</v>
      </c>
      <c r="E127" s="145">
        <v>0</v>
      </c>
      <c r="F127" s="146">
        <f t="shared" si="25"/>
        <v>1</v>
      </c>
      <c r="G127" s="225" t="s">
        <v>191</v>
      </c>
      <c r="H127" s="228" t="s">
        <v>241</v>
      </c>
      <c r="I127" s="228" t="s">
        <v>394</v>
      </c>
      <c r="J127" s="157">
        <v>20003004</v>
      </c>
    </row>
    <row r="128" spans="1:10" x14ac:dyDescent="0.25">
      <c r="A128" s="185" t="s">
        <v>584</v>
      </c>
      <c r="B128" s="168" t="str">
        <f t="shared" si="26"/>
        <v>Le champ 200-030-05 est obligatoire (indiquer 0 si nul)</v>
      </c>
      <c r="C128" s="240" t="s">
        <v>395</v>
      </c>
      <c r="D128" s="145">
        <f>LEN('200'!L13)</f>
        <v>0</v>
      </c>
      <c r="E128" s="145">
        <v>0</v>
      </c>
      <c r="F128" s="146">
        <f t="shared" si="25"/>
        <v>1</v>
      </c>
      <c r="G128" s="225" t="s">
        <v>191</v>
      </c>
      <c r="H128" s="228" t="s">
        <v>242</v>
      </c>
      <c r="I128" s="228" t="s">
        <v>395</v>
      </c>
      <c r="J128" s="157">
        <v>20003005</v>
      </c>
    </row>
    <row r="129" spans="1:10" x14ac:dyDescent="0.25">
      <c r="A129" s="185" t="s">
        <v>585</v>
      </c>
      <c r="B129" s="168" t="str">
        <f>IF(LangueChoisie=LangueFR,H129,I129)</f>
        <v>Le champ 200-030-06 est obligatoire (indiquer 0 si nul)</v>
      </c>
      <c r="C129" s="240" t="s">
        <v>628</v>
      </c>
      <c r="D129" s="233">
        <f>LEN(_20003006)</f>
        <v>0</v>
      </c>
      <c r="E129" s="245">
        <v>0</v>
      </c>
      <c r="F129" s="217">
        <f>IF(D129=E129,1,0)</f>
        <v>1</v>
      </c>
      <c r="G129" s="225" t="s">
        <v>191</v>
      </c>
      <c r="H129" s="223" t="s">
        <v>616</v>
      </c>
      <c r="I129" s="228" t="s">
        <v>628</v>
      </c>
      <c r="J129" s="157">
        <v>20003006</v>
      </c>
    </row>
    <row r="130" spans="1:10" x14ac:dyDescent="0.25">
      <c r="A130" s="185" t="s">
        <v>586</v>
      </c>
      <c r="B130" s="168" t="str">
        <f t="shared" si="26"/>
        <v>Le champ 200-040-01 est obligatoire (indiquer 0 si nul)</v>
      </c>
      <c r="C130" s="240" t="s">
        <v>396</v>
      </c>
      <c r="D130" s="145">
        <f>LEN('200'!F18)</f>
        <v>1</v>
      </c>
      <c r="E130" s="145">
        <v>0</v>
      </c>
      <c r="F130" s="146">
        <f t="shared" si="25"/>
        <v>0</v>
      </c>
      <c r="G130" s="225" t="s">
        <v>191</v>
      </c>
      <c r="H130" s="228" t="s">
        <v>243</v>
      </c>
      <c r="I130" s="228" t="s">
        <v>396</v>
      </c>
      <c r="J130" s="157">
        <v>20004001</v>
      </c>
    </row>
    <row r="131" spans="1:10" x14ac:dyDescent="0.25">
      <c r="A131" s="185" t="s">
        <v>587</v>
      </c>
      <c r="B131" s="168" t="str">
        <f t="shared" si="26"/>
        <v>Le champ 200-040-02 est obligatoire (indiquer 0 si nul)</v>
      </c>
      <c r="C131" s="240" t="s">
        <v>397</v>
      </c>
      <c r="D131" s="145">
        <f>LEN('200'!G18)</f>
        <v>1</v>
      </c>
      <c r="E131" s="145">
        <v>0</v>
      </c>
      <c r="F131" s="146">
        <f t="shared" si="25"/>
        <v>0</v>
      </c>
      <c r="G131" s="225" t="s">
        <v>191</v>
      </c>
      <c r="H131" s="228" t="s">
        <v>244</v>
      </c>
      <c r="I131" s="228" t="s">
        <v>397</v>
      </c>
      <c r="J131" s="157">
        <v>20004002</v>
      </c>
    </row>
    <row r="132" spans="1:10" x14ac:dyDescent="0.25">
      <c r="A132" s="185" t="s">
        <v>588</v>
      </c>
      <c r="B132" s="168" t="str">
        <f t="shared" si="26"/>
        <v>Le champ 200-040-04 est obligatoire (indiquer 0 si nul)</v>
      </c>
      <c r="C132" s="240" t="s">
        <v>398</v>
      </c>
      <c r="D132" s="145">
        <f>LEN('200'!K18)</f>
        <v>1</v>
      </c>
      <c r="E132" s="145">
        <v>0</v>
      </c>
      <c r="F132" s="146">
        <f t="shared" si="25"/>
        <v>0</v>
      </c>
      <c r="G132" s="225" t="s">
        <v>191</v>
      </c>
      <c r="H132" s="228" t="s">
        <v>245</v>
      </c>
      <c r="I132" s="228" t="s">
        <v>398</v>
      </c>
      <c r="J132" s="157">
        <v>20004004</v>
      </c>
    </row>
    <row r="133" spans="1:10" x14ac:dyDescent="0.25">
      <c r="A133" s="185" t="s">
        <v>589</v>
      </c>
      <c r="B133" s="168" t="str">
        <f t="shared" si="26"/>
        <v>Le champ 200-040-05 est obligatoire (indiquer 0 si nul)</v>
      </c>
      <c r="C133" s="240" t="s">
        <v>399</v>
      </c>
      <c r="D133" s="145">
        <f>LEN('200'!L18)</f>
        <v>1</v>
      </c>
      <c r="E133" s="145">
        <v>0</v>
      </c>
      <c r="F133" s="146">
        <f t="shared" si="25"/>
        <v>0</v>
      </c>
      <c r="G133" s="225" t="s">
        <v>191</v>
      </c>
      <c r="H133" s="228" t="s">
        <v>246</v>
      </c>
      <c r="I133" s="228" t="s">
        <v>399</v>
      </c>
      <c r="J133" s="157">
        <v>20004005</v>
      </c>
    </row>
    <row r="134" spans="1:10" x14ac:dyDescent="0.25">
      <c r="A134" s="185" t="s">
        <v>590</v>
      </c>
      <c r="B134" s="168" t="str">
        <f>IF(LangueChoisie=LangueFR,H134,I134)</f>
        <v>Le champ 200-040-06 est obligatoire (indiquer 0 si nul)</v>
      </c>
      <c r="C134" s="240" t="s">
        <v>627</v>
      </c>
      <c r="D134" s="233">
        <f>LEN(_20004006)</f>
        <v>1</v>
      </c>
      <c r="E134" s="245">
        <v>0</v>
      </c>
      <c r="F134" s="217">
        <f>IF(D134=E134,1,0)</f>
        <v>0</v>
      </c>
      <c r="G134" s="225" t="s">
        <v>191</v>
      </c>
      <c r="H134" s="223" t="s">
        <v>617</v>
      </c>
      <c r="I134" s="228" t="s">
        <v>627</v>
      </c>
      <c r="J134" s="157">
        <v>20004006</v>
      </c>
    </row>
    <row r="135" spans="1:10" x14ac:dyDescent="0.25">
      <c r="A135" s="185" t="s">
        <v>591</v>
      </c>
      <c r="B135" s="168" t="str">
        <f t="shared" si="26"/>
        <v>Le champ 200-050-01 est obligatoire (indiquer 0 si nul)</v>
      </c>
      <c r="C135" s="240" t="s">
        <v>400</v>
      </c>
      <c r="D135" s="145">
        <f>LEN('200'!F20)</f>
        <v>0</v>
      </c>
      <c r="E135" s="145">
        <v>0</v>
      </c>
      <c r="F135" s="146">
        <f t="shared" si="25"/>
        <v>1</v>
      </c>
      <c r="G135" s="225" t="s">
        <v>191</v>
      </c>
      <c r="H135" s="228" t="s">
        <v>247</v>
      </c>
      <c r="I135" s="228" t="s">
        <v>400</v>
      </c>
      <c r="J135" s="157">
        <v>20005001</v>
      </c>
    </row>
    <row r="136" spans="1:10" x14ac:dyDescent="0.25">
      <c r="A136" s="185" t="s">
        <v>592</v>
      </c>
      <c r="B136" s="168" t="str">
        <f t="shared" si="26"/>
        <v>Le champ 200-050-02 est obligatoire (indiquer 0 si nul)</v>
      </c>
      <c r="C136" s="240" t="s">
        <v>401</v>
      </c>
      <c r="D136" s="145">
        <f>LEN('200'!G20)</f>
        <v>0</v>
      </c>
      <c r="E136" s="145">
        <v>0</v>
      </c>
      <c r="F136" s="146">
        <f t="shared" si="25"/>
        <v>1</v>
      </c>
      <c r="G136" s="225" t="s">
        <v>191</v>
      </c>
      <c r="H136" s="228" t="s">
        <v>248</v>
      </c>
      <c r="I136" s="228" t="s">
        <v>401</v>
      </c>
      <c r="J136" s="157">
        <v>20005002</v>
      </c>
    </row>
    <row r="137" spans="1:10" x14ac:dyDescent="0.25">
      <c r="A137" s="185" t="s">
        <v>593</v>
      </c>
      <c r="B137" s="168" t="str">
        <f t="shared" si="26"/>
        <v>Le champ 200-050-04 est obligatoire (indiquer 0 si nul)</v>
      </c>
      <c r="C137" s="240" t="s">
        <v>402</v>
      </c>
      <c r="D137" s="145">
        <f>LEN('200'!K20)</f>
        <v>0</v>
      </c>
      <c r="E137" s="145">
        <v>0</v>
      </c>
      <c r="F137" s="146">
        <f t="shared" si="25"/>
        <v>1</v>
      </c>
      <c r="G137" s="225" t="s">
        <v>191</v>
      </c>
      <c r="H137" s="228" t="s">
        <v>249</v>
      </c>
      <c r="I137" s="228" t="s">
        <v>402</v>
      </c>
      <c r="J137" s="157">
        <v>20005004</v>
      </c>
    </row>
    <row r="138" spans="1:10" x14ac:dyDescent="0.25">
      <c r="A138" s="185" t="s">
        <v>594</v>
      </c>
      <c r="B138" s="168" t="str">
        <f t="shared" si="26"/>
        <v>Le champ 200-050-05 est obligatoire (indiquer 0 si nul)</v>
      </c>
      <c r="C138" s="240" t="s">
        <v>403</v>
      </c>
      <c r="D138" s="145">
        <f>LEN('200'!L20)</f>
        <v>0</v>
      </c>
      <c r="E138" s="145">
        <v>0</v>
      </c>
      <c r="F138" s="146">
        <f t="shared" si="25"/>
        <v>1</v>
      </c>
      <c r="G138" s="225" t="s">
        <v>191</v>
      </c>
      <c r="H138" s="228" t="s">
        <v>250</v>
      </c>
      <c r="I138" s="228" t="s">
        <v>403</v>
      </c>
      <c r="J138" s="157">
        <v>20005005</v>
      </c>
    </row>
    <row r="139" spans="1:10" x14ac:dyDescent="0.25">
      <c r="A139" s="185" t="s">
        <v>595</v>
      </c>
      <c r="B139" s="168" t="str">
        <f>IF(LangueChoisie=LangueFR,H139,I139)</f>
        <v>Le champ 200-050-06 est obligatoire (indiquer 0 si nul)</v>
      </c>
      <c r="C139" s="240" t="s">
        <v>626</v>
      </c>
      <c r="D139" s="233">
        <f>LEN(_20005006)</f>
        <v>0</v>
      </c>
      <c r="E139" s="245">
        <v>0</v>
      </c>
      <c r="F139" s="217">
        <f>IF(D139=E139,1,0)</f>
        <v>1</v>
      </c>
      <c r="G139" s="225" t="s">
        <v>191</v>
      </c>
      <c r="H139" s="223" t="s">
        <v>618</v>
      </c>
      <c r="I139" s="228" t="s">
        <v>626</v>
      </c>
      <c r="J139" s="157">
        <v>20005006</v>
      </c>
    </row>
    <row r="140" spans="1:10" x14ac:dyDescent="0.25">
      <c r="A140" s="185" t="s">
        <v>596</v>
      </c>
      <c r="B140" s="168" t="str">
        <f t="shared" si="26"/>
        <v>Le champ 200-060-01 est obligatoire (indiquer 0 si nul)</v>
      </c>
      <c r="C140" s="240" t="s">
        <v>404</v>
      </c>
      <c r="D140" s="145">
        <f>LEN('200'!F22)</f>
        <v>0</v>
      </c>
      <c r="E140" s="145">
        <v>0</v>
      </c>
      <c r="F140" s="146">
        <f t="shared" si="25"/>
        <v>1</v>
      </c>
      <c r="G140" s="225" t="s">
        <v>191</v>
      </c>
      <c r="H140" s="228" t="s">
        <v>251</v>
      </c>
      <c r="I140" s="228" t="s">
        <v>404</v>
      </c>
      <c r="J140" s="157">
        <v>20006001</v>
      </c>
    </row>
    <row r="141" spans="1:10" x14ac:dyDescent="0.25">
      <c r="A141" s="185" t="s">
        <v>597</v>
      </c>
      <c r="B141" s="168" t="str">
        <f t="shared" si="26"/>
        <v>Le champ 200-060-02 est obligatoire (indiquer 0 si nul)</v>
      </c>
      <c r="C141" s="240" t="s">
        <v>405</v>
      </c>
      <c r="D141" s="145">
        <f>LEN('200'!G22)</f>
        <v>0</v>
      </c>
      <c r="E141" s="145">
        <v>0</v>
      </c>
      <c r="F141" s="146">
        <f t="shared" si="25"/>
        <v>1</v>
      </c>
      <c r="G141" s="225" t="s">
        <v>191</v>
      </c>
      <c r="H141" s="228" t="s">
        <v>252</v>
      </c>
      <c r="I141" s="228" t="s">
        <v>405</v>
      </c>
      <c r="J141" s="157">
        <v>20006002</v>
      </c>
    </row>
    <row r="142" spans="1:10" x14ac:dyDescent="0.25">
      <c r="A142" s="185" t="s">
        <v>598</v>
      </c>
      <c r="B142" s="168" t="str">
        <f t="shared" si="26"/>
        <v>Le champ 200-060-04 est obligatoire (indiquer 0 si nul)</v>
      </c>
      <c r="C142" s="240" t="s">
        <v>406</v>
      </c>
      <c r="D142" s="145">
        <f>LEN('200'!K22)</f>
        <v>0</v>
      </c>
      <c r="E142" s="145">
        <v>0</v>
      </c>
      <c r="F142" s="146">
        <f t="shared" si="25"/>
        <v>1</v>
      </c>
      <c r="G142" s="225" t="s">
        <v>191</v>
      </c>
      <c r="H142" s="228" t="s">
        <v>253</v>
      </c>
      <c r="I142" s="228" t="s">
        <v>406</v>
      </c>
      <c r="J142" s="157">
        <v>20006004</v>
      </c>
    </row>
    <row r="143" spans="1:10" x14ac:dyDescent="0.25">
      <c r="A143" s="185" t="s">
        <v>599</v>
      </c>
      <c r="B143" s="168" t="str">
        <f t="shared" si="26"/>
        <v>Le champ 200-060-05 est obligatoire (indiquer 0 si nul)</v>
      </c>
      <c r="C143" s="240" t="s">
        <v>407</v>
      </c>
      <c r="D143" s="145">
        <f>LEN('200'!L22)</f>
        <v>0</v>
      </c>
      <c r="E143" s="145">
        <v>0</v>
      </c>
      <c r="F143" s="146">
        <f t="shared" si="25"/>
        <v>1</v>
      </c>
      <c r="G143" s="225" t="s">
        <v>191</v>
      </c>
      <c r="H143" s="228" t="s">
        <v>254</v>
      </c>
      <c r="I143" s="228" t="s">
        <v>407</v>
      </c>
      <c r="J143" s="157">
        <v>20006005</v>
      </c>
    </row>
    <row r="144" spans="1:10" x14ac:dyDescent="0.25">
      <c r="A144" s="185" t="s">
        <v>600</v>
      </c>
      <c r="B144" s="168" t="str">
        <f>IF(LangueChoisie=LangueFR,H144,I144)</f>
        <v>Le champ 200-060-06 est obligatoire (indiquer 0 si nul)</v>
      </c>
      <c r="C144" s="240" t="s">
        <v>625</v>
      </c>
      <c r="D144" s="233">
        <f>LEN(_20006006)</f>
        <v>0</v>
      </c>
      <c r="E144" s="245">
        <v>0</v>
      </c>
      <c r="F144" s="217">
        <f>IF(D144=E144,1,0)</f>
        <v>1</v>
      </c>
      <c r="G144" s="225" t="s">
        <v>191</v>
      </c>
      <c r="H144" s="223" t="s">
        <v>619</v>
      </c>
      <c r="I144" s="228" t="s">
        <v>625</v>
      </c>
      <c r="J144" s="157">
        <v>20006006</v>
      </c>
    </row>
    <row r="145" spans="1:11" x14ac:dyDescent="0.25">
      <c r="A145" s="185" t="s">
        <v>601</v>
      </c>
      <c r="B145" s="168" t="str">
        <f t="shared" si="26"/>
        <v>Le champ 200-070-01 est obligatoire (indiquer 0 si nul)</v>
      </c>
      <c r="C145" s="240" t="s">
        <v>408</v>
      </c>
      <c r="D145" s="145">
        <f>LEN('200'!F24)</f>
        <v>0</v>
      </c>
      <c r="E145" s="145">
        <v>0</v>
      </c>
      <c r="F145" s="146">
        <f t="shared" si="25"/>
        <v>1</v>
      </c>
      <c r="G145" s="225" t="s">
        <v>191</v>
      </c>
      <c r="H145" s="228" t="s">
        <v>255</v>
      </c>
      <c r="I145" s="228" t="s">
        <v>408</v>
      </c>
      <c r="J145" s="157">
        <v>20007001</v>
      </c>
    </row>
    <row r="146" spans="1:11" x14ac:dyDescent="0.25">
      <c r="A146" s="185" t="s">
        <v>602</v>
      </c>
      <c r="B146" s="168" t="str">
        <f t="shared" si="26"/>
        <v>Le champ 200-070-02 est obligatoire (indiquer 0 si nul)</v>
      </c>
      <c r="C146" s="240" t="s">
        <v>409</v>
      </c>
      <c r="D146" s="145">
        <f>LEN('200'!G24)</f>
        <v>0</v>
      </c>
      <c r="E146" s="145">
        <v>0</v>
      </c>
      <c r="F146" s="146">
        <f t="shared" si="25"/>
        <v>1</v>
      </c>
      <c r="G146" s="225" t="s">
        <v>191</v>
      </c>
      <c r="H146" s="228" t="s">
        <v>256</v>
      </c>
      <c r="I146" s="228" t="s">
        <v>409</v>
      </c>
      <c r="J146" s="157">
        <v>20007002</v>
      </c>
    </row>
    <row r="147" spans="1:11" x14ac:dyDescent="0.25">
      <c r="A147" s="185" t="s">
        <v>603</v>
      </c>
      <c r="B147" s="168" t="str">
        <f t="shared" si="26"/>
        <v>Le champ 200-070-04 est obligatoire (indiquer 0 si nul)</v>
      </c>
      <c r="C147" s="240" t="s">
        <v>410</v>
      </c>
      <c r="D147" s="145">
        <f>LEN('200'!K24)</f>
        <v>0</v>
      </c>
      <c r="E147" s="145">
        <v>0</v>
      </c>
      <c r="F147" s="146">
        <f t="shared" si="25"/>
        <v>1</v>
      </c>
      <c r="G147" s="225" t="s">
        <v>191</v>
      </c>
      <c r="H147" s="228" t="s">
        <v>257</v>
      </c>
      <c r="I147" s="228" t="s">
        <v>410</v>
      </c>
      <c r="J147" s="157">
        <v>20007004</v>
      </c>
    </row>
    <row r="148" spans="1:11" x14ac:dyDescent="0.25">
      <c r="A148" s="185" t="s">
        <v>604</v>
      </c>
      <c r="B148" s="168" t="str">
        <f t="shared" si="26"/>
        <v>Le champ 200-070-05 est obligatoire (indiquer 0 si nul)</v>
      </c>
      <c r="C148" s="240" t="s">
        <v>411</v>
      </c>
      <c r="D148" s="145">
        <f>LEN('200'!L24)</f>
        <v>0</v>
      </c>
      <c r="E148" s="145">
        <v>0</v>
      </c>
      <c r="F148" s="146">
        <f t="shared" si="25"/>
        <v>1</v>
      </c>
      <c r="G148" s="225" t="s">
        <v>191</v>
      </c>
      <c r="H148" s="228" t="s">
        <v>258</v>
      </c>
      <c r="I148" s="228" t="s">
        <v>411</v>
      </c>
      <c r="J148" s="157">
        <v>20007005</v>
      </c>
    </row>
    <row r="149" spans="1:11" x14ac:dyDescent="0.25">
      <c r="A149" s="185" t="s">
        <v>605</v>
      </c>
      <c r="B149" s="168" t="str">
        <f>IF(LangueChoisie=LangueFR,H149,I149)</f>
        <v>Le champ 200-070-06 est obligatoire (indiquer 0 si nul)</v>
      </c>
      <c r="C149" s="240" t="s">
        <v>624</v>
      </c>
      <c r="D149" s="233">
        <f>LEN(_20007006)</f>
        <v>0</v>
      </c>
      <c r="E149" s="245">
        <v>0</v>
      </c>
      <c r="F149" s="217">
        <f>IF(D149=E149,1,0)</f>
        <v>1</v>
      </c>
      <c r="G149" s="225" t="s">
        <v>191</v>
      </c>
      <c r="H149" s="223" t="s">
        <v>620</v>
      </c>
      <c r="I149" s="228" t="s">
        <v>624</v>
      </c>
      <c r="J149" s="157">
        <v>20007006</v>
      </c>
    </row>
    <row r="150" spans="1:11" x14ac:dyDescent="0.25">
      <c r="A150" s="185" t="s">
        <v>762</v>
      </c>
      <c r="B150" s="168" t="str">
        <f t="shared" si="26"/>
        <v>Le champ 200-080-01 est obligatoire (indiquer 0 si nul)</v>
      </c>
      <c r="C150" s="240" t="s">
        <v>412</v>
      </c>
      <c r="D150" s="145">
        <f>LEN('200'!F26)</f>
        <v>1</v>
      </c>
      <c r="E150" s="145">
        <v>0</v>
      </c>
      <c r="F150" s="146">
        <f t="shared" si="25"/>
        <v>0</v>
      </c>
      <c r="G150" s="225" t="s">
        <v>191</v>
      </c>
      <c r="H150" s="228" t="s">
        <v>259</v>
      </c>
      <c r="I150" s="228" t="s">
        <v>412</v>
      </c>
      <c r="J150" s="157">
        <v>20008001</v>
      </c>
    </row>
    <row r="151" spans="1:11" x14ac:dyDescent="0.25">
      <c r="A151" s="185" t="s">
        <v>763</v>
      </c>
      <c r="B151" s="168" t="str">
        <f t="shared" si="26"/>
        <v>Le champ 200-080-02 est obligatoire (indiquer 0 si nul)</v>
      </c>
      <c r="C151" s="240" t="s">
        <v>413</v>
      </c>
      <c r="D151" s="145">
        <f>LEN('200'!G26)</f>
        <v>1</v>
      </c>
      <c r="E151" s="145">
        <v>0</v>
      </c>
      <c r="F151" s="146">
        <f t="shared" si="25"/>
        <v>0</v>
      </c>
      <c r="G151" s="225" t="s">
        <v>191</v>
      </c>
      <c r="H151" s="228" t="s">
        <v>260</v>
      </c>
      <c r="I151" s="228" t="s">
        <v>413</v>
      </c>
      <c r="J151" s="157">
        <v>20008002</v>
      </c>
    </row>
    <row r="152" spans="1:11" x14ac:dyDescent="0.25">
      <c r="A152" s="185" t="s">
        <v>764</v>
      </c>
      <c r="B152" s="168" t="str">
        <f t="shared" si="26"/>
        <v>Le champ 200-080-04 est obligatoire (indiquer 0 si nul)</v>
      </c>
      <c r="C152" s="240" t="s">
        <v>414</v>
      </c>
      <c r="D152" s="145">
        <f>LEN('200'!K26)</f>
        <v>1</v>
      </c>
      <c r="E152" s="145">
        <v>0</v>
      </c>
      <c r="F152" s="146">
        <f t="shared" si="25"/>
        <v>0</v>
      </c>
      <c r="G152" s="225" t="s">
        <v>191</v>
      </c>
      <c r="H152" s="228" t="s">
        <v>261</v>
      </c>
      <c r="I152" s="228" t="s">
        <v>414</v>
      </c>
      <c r="J152" s="157">
        <v>20008004</v>
      </c>
    </row>
    <row r="153" spans="1:11" x14ac:dyDescent="0.25">
      <c r="A153" s="185" t="s">
        <v>765</v>
      </c>
      <c r="B153" s="168" t="str">
        <f t="shared" si="26"/>
        <v>Le champ 200-080-05 est obligatoire (indiquer 0 si nul)</v>
      </c>
      <c r="C153" s="240" t="s">
        <v>415</v>
      </c>
      <c r="D153" s="145">
        <f>LEN('200'!L26)</f>
        <v>1</v>
      </c>
      <c r="E153" s="145">
        <v>0</v>
      </c>
      <c r="F153" s="146">
        <f t="shared" si="25"/>
        <v>0</v>
      </c>
      <c r="G153" s="225" t="s">
        <v>191</v>
      </c>
      <c r="H153" s="228" t="s">
        <v>262</v>
      </c>
      <c r="I153" s="228" t="s">
        <v>415</v>
      </c>
      <c r="J153" s="157">
        <v>20008005</v>
      </c>
    </row>
    <row r="154" spans="1:11" x14ac:dyDescent="0.25">
      <c r="A154" s="185" t="s">
        <v>766</v>
      </c>
      <c r="B154" s="168" t="str">
        <f>IF(LangueChoisie=LangueFR,H154,I154)</f>
        <v>Le champ 200-080-06 est obligatoire (indiquer 0 si nul)</v>
      </c>
      <c r="C154" s="240" t="s">
        <v>623</v>
      </c>
      <c r="D154" s="233">
        <f>LEN(_20008006)</f>
        <v>1</v>
      </c>
      <c r="E154" s="245">
        <v>0</v>
      </c>
      <c r="F154" s="217">
        <f t="shared" ref="F154" si="27">IF(D154=E154,1,0)</f>
        <v>0</v>
      </c>
      <c r="G154" s="225" t="s">
        <v>191</v>
      </c>
      <c r="H154" s="223" t="s">
        <v>621</v>
      </c>
      <c r="I154" s="228" t="s">
        <v>623</v>
      </c>
      <c r="J154" s="157">
        <v>20008006</v>
      </c>
    </row>
    <row r="155" spans="1:11" x14ac:dyDescent="0.25">
      <c r="A155" s="185" t="s">
        <v>767</v>
      </c>
      <c r="B155" s="168" t="str">
        <f t="shared" ref="B155:B158" si="28">IF(LangueChoisie=LangueFR,H155,I155)</f>
        <v>Le champ 200-085-01 est obligatoire (indiquer 0 si nul)</v>
      </c>
      <c r="C155" s="240" t="s">
        <v>412</v>
      </c>
      <c r="D155" s="145">
        <f>LEN(_20008501)</f>
        <v>0</v>
      </c>
      <c r="E155" s="145">
        <v>0</v>
      </c>
      <c r="F155" s="146">
        <f t="shared" ref="F155:F158" si="29">IF(D155=E155,1,0)</f>
        <v>1</v>
      </c>
      <c r="G155" s="225" t="s">
        <v>191</v>
      </c>
      <c r="H155" s="228" t="s">
        <v>737</v>
      </c>
      <c r="I155" s="228" t="s">
        <v>742</v>
      </c>
      <c r="J155" s="157">
        <v>20008501</v>
      </c>
      <c r="K155" s="236"/>
    </row>
    <row r="156" spans="1:11" x14ac:dyDescent="0.25">
      <c r="A156" s="185" t="s">
        <v>768</v>
      </c>
      <c r="B156" s="168" t="str">
        <f t="shared" si="28"/>
        <v>Le champ 200-085-02 est obligatoire (indiquer 0 si nul)</v>
      </c>
      <c r="C156" s="240" t="s">
        <v>413</v>
      </c>
      <c r="D156" s="145">
        <f>LEN(_20008502)</f>
        <v>0</v>
      </c>
      <c r="E156" s="145">
        <v>0</v>
      </c>
      <c r="F156" s="146">
        <f t="shared" si="29"/>
        <v>1</v>
      </c>
      <c r="G156" s="225" t="s">
        <v>191</v>
      </c>
      <c r="H156" s="228" t="s">
        <v>738</v>
      </c>
      <c r="I156" s="228" t="s">
        <v>743</v>
      </c>
      <c r="J156" s="157">
        <v>20008502</v>
      </c>
      <c r="K156" s="236"/>
    </row>
    <row r="157" spans="1:11" x14ac:dyDescent="0.25">
      <c r="A157" s="185" t="s">
        <v>769</v>
      </c>
      <c r="B157" s="168" t="str">
        <f t="shared" si="28"/>
        <v>Le champ 200-085-04 est obligatoire (indiquer 0 si nul)</v>
      </c>
      <c r="C157" s="240" t="s">
        <v>414</v>
      </c>
      <c r="D157" s="145">
        <f>LEN(_20008504)</f>
        <v>0</v>
      </c>
      <c r="E157" s="145">
        <v>0</v>
      </c>
      <c r="F157" s="146">
        <f t="shared" si="29"/>
        <v>1</v>
      </c>
      <c r="G157" s="225" t="s">
        <v>191</v>
      </c>
      <c r="H157" s="228" t="s">
        <v>739</v>
      </c>
      <c r="I157" s="228" t="s">
        <v>744</v>
      </c>
      <c r="J157" s="157">
        <v>20008504</v>
      </c>
      <c r="K157" s="236"/>
    </row>
    <row r="158" spans="1:11" x14ac:dyDescent="0.25">
      <c r="A158" s="185" t="s">
        <v>770</v>
      </c>
      <c r="B158" s="168" t="str">
        <f t="shared" si="28"/>
        <v>Le champ 200-085-05 est obligatoire (indiquer 0 si nul)</v>
      </c>
      <c r="C158" s="240" t="s">
        <v>415</v>
      </c>
      <c r="D158" s="145">
        <f>LEN(_20008505)</f>
        <v>0</v>
      </c>
      <c r="E158" s="145">
        <v>0</v>
      </c>
      <c r="F158" s="146">
        <f t="shared" si="29"/>
        <v>1</v>
      </c>
      <c r="G158" s="225" t="s">
        <v>191</v>
      </c>
      <c r="H158" s="228" t="s">
        <v>740</v>
      </c>
      <c r="I158" s="228" t="s">
        <v>745</v>
      </c>
      <c r="J158" s="157">
        <v>20008505</v>
      </c>
      <c r="K158" s="236"/>
    </row>
    <row r="159" spans="1:11" x14ac:dyDescent="0.25">
      <c r="A159" s="185" t="s">
        <v>771</v>
      </c>
      <c r="B159" s="168" t="str">
        <f>IF(LangueChoisie=LangueFR,H159,I159)</f>
        <v>Le champ 200-085-06 est obligatoire (indiquer 0 si nul)</v>
      </c>
      <c r="C159" s="240"/>
      <c r="D159" s="145">
        <f>LEN(_20008506)</f>
        <v>0</v>
      </c>
      <c r="E159" s="145">
        <v>0</v>
      </c>
      <c r="F159" s="146">
        <f>IF(D159=E159,1,0)</f>
        <v>1</v>
      </c>
      <c r="G159" s="225" t="s">
        <v>191</v>
      </c>
      <c r="H159" s="228" t="s">
        <v>741</v>
      </c>
      <c r="I159" s="228" t="s">
        <v>746</v>
      </c>
      <c r="J159" s="157">
        <v>20008506</v>
      </c>
      <c r="K159" s="236"/>
    </row>
    <row r="160" spans="1:11" x14ac:dyDescent="0.25">
      <c r="A160" s="185" t="s">
        <v>772</v>
      </c>
      <c r="B160" s="168" t="str">
        <f t="shared" ref="B160:B163" si="30">IF(LangueChoisie=LangueFR,H160,I160)</f>
        <v>Le champ 200-086-01 est obligatoire (indiquer 0 si nul)</v>
      </c>
      <c r="C160" s="240" t="s">
        <v>412</v>
      </c>
      <c r="D160" s="145">
        <f>LEN(_20008601)</f>
        <v>0</v>
      </c>
      <c r="E160" s="145">
        <v>0</v>
      </c>
      <c r="F160" s="146">
        <f t="shared" ref="F160:F163" si="31">IF(D160=E160,1,0)</f>
        <v>1</v>
      </c>
      <c r="G160" s="225" t="s">
        <v>191</v>
      </c>
      <c r="H160" s="228" t="s">
        <v>752</v>
      </c>
      <c r="I160" s="228" t="s">
        <v>757</v>
      </c>
      <c r="J160" s="157">
        <v>20008601</v>
      </c>
    </row>
    <row r="161" spans="1:10" x14ac:dyDescent="0.25">
      <c r="A161" s="185" t="s">
        <v>773</v>
      </c>
      <c r="B161" s="168" t="str">
        <f t="shared" si="30"/>
        <v>Le champ 200-086-02 est obligatoire (indiquer 0 si nul)</v>
      </c>
      <c r="C161" s="240" t="s">
        <v>413</v>
      </c>
      <c r="D161" s="145">
        <f>LEN(_20008602)</f>
        <v>0</v>
      </c>
      <c r="E161" s="145">
        <v>0</v>
      </c>
      <c r="F161" s="146">
        <f t="shared" si="31"/>
        <v>1</v>
      </c>
      <c r="G161" s="225" t="s">
        <v>191</v>
      </c>
      <c r="H161" s="228" t="s">
        <v>753</v>
      </c>
      <c r="I161" s="228" t="s">
        <v>758</v>
      </c>
      <c r="J161" s="157">
        <v>20008602</v>
      </c>
    </row>
    <row r="162" spans="1:10" x14ac:dyDescent="0.25">
      <c r="A162" s="185" t="s">
        <v>774</v>
      </c>
      <c r="B162" s="168" t="str">
        <f t="shared" si="30"/>
        <v>Le champ 200-086-04 est obligatoire (indiquer 0 si nul)</v>
      </c>
      <c r="C162" s="240" t="s">
        <v>414</v>
      </c>
      <c r="D162" s="145">
        <f>LEN(_20008604)</f>
        <v>0</v>
      </c>
      <c r="E162" s="145">
        <v>0</v>
      </c>
      <c r="F162" s="146">
        <f t="shared" si="31"/>
        <v>1</v>
      </c>
      <c r="G162" s="225" t="s">
        <v>191</v>
      </c>
      <c r="H162" s="228" t="s">
        <v>754</v>
      </c>
      <c r="I162" s="228" t="s">
        <v>759</v>
      </c>
      <c r="J162" s="157">
        <v>20008604</v>
      </c>
    </row>
    <row r="163" spans="1:10" x14ac:dyDescent="0.25">
      <c r="A163" s="185" t="s">
        <v>775</v>
      </c>
      <c r="B163" s="168" t="str">
        <f t="shared" si="30"/>
        <v>Le champ 200-086-05 est obligatoire (indiquer 0 si nul)</v>
      </c>
      <c r="C163" s="240" t="s">
        <v>415</v>
      </c>
      <c r="D163" s="145">
        <f>LEN(_20008605)</f>
        <v>0</v>
      </c>
      <c r="E163" s="145">
        <v>0</v>
      </c>
      <c r="F163" s="146">
        <f t="shared" si="31"/>
        <v>1</v>
      </c>
      <c r="G163" s="225" t="s">
        <v>191</v>
      </c>
      <c r="H163" s="228" t="s">
        <v>755</v>
      </c>
      <c r="I163" s="228" t="s">
        <v>760</v>
      </c>
      <c r="J163" s="157">
        <v>20008605</v>
      </c>
    </row>
    <row r="164" spans="1:10" x14ac:dyDescent="0.25">
      <c r="A164" s="185" t="s">
        <v>776</v>
      </c>
      <c r="B164" s="168" t="str">
        <f>IF(LangueChoisie=LangueFR,H164,I164)</f>
        <v>Le champ 200-086-06 est obligatoire (indiquer 0 si nul)</v>
      </c>
      <c r="C164" s="240"/>
      <c r="D164" s="145">
        <f>LEN(_20008606)</f>
        <v>0</v>
      </c>
      <c r="E164" s="145">
        <v>0</v>
      </c>
      <c r="F164" s="146">
        <f>IF(D164=E164,1,0)</f>
        <v>1</v>
      </c>
      <c r="G164" s="225" t="s">
        <v>191</v>
      </c>
      <c r="H164" s="228" t="s">
        <v>756</v>
      </c>
      <c r="I164" s="228" t="s">
        <v>761</v>
      </c>
      <c r="J164" s="157">
        <v>20008606</v>
      </c>
    </row>
    <row r="165" spans="1:10" x14ac:dyDescent="0.25">
      <c r="A165" s="185" t="s">
        <v>777</v>
      </c>
      <c r="B165" s="168" t="str">
        <f t="shared" ref="B165:B168" si="32">IF(LangueChoisie=LangueFR,H165,I165)</f>
        <v>Le champ 200-087-01 est obligatoire (indiquer 0 si nul)</v>
      </c>
      <c r="C165" s="240" t="s">
        <v>412</v>
      </c>
      <c r="D165" s="145">
        <f>LEN(_20008701)</f>
        <v>0</v>
      </c>
      <c r="E165" s="145">
        <v>0</v>
      </c>
      <c r="F165" s="146">
        <f t="shared" ref="F165:F168" si="33">IF(D165=E165,1,0)</f>
        <v>1</v>
      </c>
      <c r="G165" s="225" t="s">
        <v>191</v>
      </c>
      <c r="H165" s="228" t="s">
        <v>866</v>
      </c>
      <c r="I165" s="228" t="s">
        <v>867</v>
      </c>
      <c r="J165" s="157">
        <v>20008701</v>
      </c>
    </row>
    <row r="166" spans="1:10" x14ac:dyDescent="0.25">
      <c r="A166" s="185" t="s">
        <v>778</v>
      </c>
      <c r="B166" s="168" t="str">
        <f t="shared" si="32"/>
        <v>Le champ 200-087-02 est obligatoire (indiquer 0 si nul)</v>
      </c>
      <c r="C166" s="240" t="s">
        <v>413</v>
      </c>
      <c r="D166" s="145">
        <f>LEN(_20008702)</f>
        <v>0</v>
      </c>
      <c r="E166" s="145">
        <v>0</v>
      </c>
      <c r="F166" s="146">
        <f t="shared" si="33"/>
        <v>1</v>
      </c>
      <c r="G166" s="225" t="s">
        <v>191</v>
      </c>
      <c r="H166" s="228" t="s">
        <v>858</v>
      </c>
      <c r="I166" s="228" t="s">
        <v>859</v>
      </c>
      <c r="J166" s="157">
        <v>20008702</v>
      </c>
    </row>
    <row r="167" spans="1:10" x14ac:dyDescent="0.25">
      <c r="A167" s="185" t="s">
        <v>779</v>
      </c>
      <c r="B167" s="168" t="str">
        <f t="shared" si="32"/>
        <v>Le champ 200-087-04 est obligatoire (indiquer 0 si nul)</v>
      </c>
      <c r="C167" s="240" t="s">
        <v>414</v>
      </c>
      <c r="D167" s="145">
        <f>LEN(_20008704)</f>
        <v>0</v>
      </c>
      <c r="E167" s="145">
        <v>0</v>
      </c>
      <c r="F167" s="146">
        <f t="shared" si="33"/>
        <v>1</v>
      </c>
      <c r="G167" s="225" t="s">
        <v>191</v>
      </c>
      <c r="H167" s="228" t="s">
        <v>860</v>
      </c>
      <c r="I167" s="228" t="s">
        <v>861</v>
      </c>
      <c r="J167" s="157">
        <v>20008704</v>
      </c>
    </row>
    <row r="168" spans="1:10" x14ac:dyDescent="0.25">
      <c r="A168" s="185" t="s">
        <v>780</v>
      </c>
      <c r="B168" s="168" t="str">
        <f t="shared" si="32"/>
        <v>Le champ 200-087-05 est obligatoire (indiquer 0 si nul)</v>
      </c>
      <c r="C168" s="240" t="s">
        <v>415</v>
      </c>
      <c r="D168" s="145">
        <f>LEN(_20008705)</f>
        <v>0</v>
      </c>
      <c r="E168" s="145">
        <v>0</v>
      </c>
      <c r="F168" s="146">
        <f t="shared" si="33"/>
        <v>1</v>
      </c>
      <c r="G168" s="225" t="s">
        <v>191</v>
      </c>
      <c r="H168" s="228" t="s">
        <v>862</v>
      </c>
      <c r="I168" s="228" t="s">
        <v>863</v>
      </c>
      <c r="J168" s="157">
        <v>20008705</v>
      </c>
    </row>
    <row r="169" spans="1:10" x14ac:dyDescent="0.25">
      <c r="A169" s="185" t="s">
        <v>781</v>
      </c>
      <c r="B169" s="168" t="str">
        <f>IF(LangueChoisie=LangueFR,H169,I169)</f>
        <v>Le champ 200-087-06 est obligatoire (indiquer 0 si nul)</v>
      </c>
      <c r="C169" s="240"/>
      <c r="D169" s="145">
        <f>LEN(_20008706)</f>
        <v>0</v>
      </c>
      <c r="E169" s="145">
        <v>0</v>
      </c>
      <c r="F169" s="146">
        <f>IF(D169=E169,1,0)</f>
        <v>1</v>
      </c>
      <c r="G169" s="225" t="s">
        <v>191</v>
      </c>
      <c r="H169" s="228" t="s">
        <v>864</v>
      </c>
      <c r="I169" s="228" t="s">
        <v>865</v>
      </c>
      <c r="J169" s="157">
        <v>20008706</v>
      </c>
    </row>
    <row r="170" spans="1:10" x14ac:dyDescent="0.25">
      <c r="A170" s="185" t="s">
        <v>782</v>
      </c>
      <c r="B170" s="168" t="str">
        <f t="shared" si="26"/>
        <v>Le champ 200-010-01 doit être ≥ 0</v>
      </c>
      <c r="C170" s="240" t="s">
        <v>416</v>
      </c>
      <c r="D170" s="218">
        <f>'200'!F9</f>
        <v>0</v>
      </c>
      <c r="E170" s="145">
        <v>0</v>
      </c>
      <c r="F170" s="158">
        <f t="shared" ref="F170:F208" si="34">IF(D170&gt;=E170,0,1)</f>
        <v>0</v>
      </c>
      <c r="G170" s="225" t="s">
        <v>191</v>
      </c>
      <c r="H170" s="228" t="s">
        <v>138</v>
      </c>
      <c r="I170" s="228" t="s">
        <v>416</v>
      </c>
      <c r="J170" s="157">
        <v>20001001</v>
      </c>
    </row>
    <row r="171" spans="1:10" x14ac:dyDescent="0.25">
      <c r="A171" s="185" t="s">
        <v>783</v>
      </c>
      <c r="B171" s="168" t="str">
        <f t="shared" si="26"/>
        <v>Le champ 200-010-02 doit être ≥ 0</v>
      </c>
      <c r="C171" s="240" t="s">
        <v>417</v>
      </c>
      <c r="D171" s="218">
        <f>'200'!G9</f>
        <v>0</v>
      </c>
      <c r="E171" s="145">
        <v>0</v>
      </c>
      <c r="F171" s="158">
        <f t="shared" si="34"/>
        <v>0</v>
      </c>
      <c r="G171" s="225" t="s">
        <v>191</v>
      </c>
      <c r="H171" s="228" t="s">
        <v>139</v>
      </c>
      <c r="I171" s="228" t="s">
        <v>417</v>
      </c>
      <c r="J171" s="157">
        <v>20001002</v>
      </c>
    </row>
    <row r="172" spans="1:10" x14ac:dyDescent="0.25">
      <c r="A172" s="185" t="s">
        <v>784</v>
      </c>
      <c r="B172" s="168" t="str">
        <f t="shared" si="26"/>
        <v>Le champ 200-010-04 doit être ≥ 0</v>
      </c>
      <c r="C172" s="240" t="s">
        <v>418</v>
      </c>
      <c r="D172" s="218">
        <f>'200'!K9</f>
        <v>0</v>
      </c>
      <c r="E172" s="145">
        <v>0</v>
      </c>
      <c r="F172" s="158">
        <f t="shared" si="34"/>
        <v>0</v>
      </c>
      <c r="G172" s="225" t="s">
        <v>191</v>
      </c>
      <c r="H172" s="228" t="s">
        <v>140</v>
      </c>
      <c r="I172" s="228" t="s">
        <v>418</v>
      </c>
      <c r="J172" s="157">
        <v>20001004</v>
      </c>
    </row>
    <row r="173" spans="1:10" x14ac:dyDescent="0.25">
      <c r="A173" s="185" t="s">
        <v>785</v>
      </c>
      <c r="B173" s="168" t="str">
        <f t="shared" si="26"/>
        <v>Le champ 200-010-05 doit être ≥ 0</v>
      </c>
      <c r="C173" s="240" t="s">
        <v>419</v>
      </c>
      <c r="D173" s="218">
        <f>'200'!L9</f>
        <v>0</v>
      </c>
      <c r="E173" s="145">
        <v>0</v>
      </c>
      <c r="F173" s="158">
        <f t="shared" si="34"/>
        <v>0</v>
      </c>
      <c r="G173" s="225" t="s">
        <v>191</v>
      </c>
      <c r="H173" s="228" t="s">
        <v>141</v>
      </c>
      <c r="I173" s="228" t="s">
        <v>419</v>
      </c>
      <c r="J173" s="157">
        <v>20001005</v>
      </c>
    </row>
    <row r="174" spans="1:10" x14ac:dyDescent="0.25">
      <c r="A174" s="185" t="s">
        <v>786</v>
      </c>
      <c r="B174" s="168" t="str">
        <f>IF(LangueChoisie=LangueFR,H174,I174)</f>
        <v>Le champ 200-010-06 doit être ≥ 0</v>
      </c>
      <c r="C174" s="240" t="s">
        <v>638</v>
      </c>
      <c r="D174" s="246">
        <f>_20001006</f>
        <v>0</v>
      </c>
      <c r="E174" s="245">
        <v>0</v>
      </c>
      <c r="F174" s="217">
        <f>IF(D174&gt;=E174,0,1)</f>
        <v>0</v>
      </c>
      <c r="G174" s="225" t="s">
        <v>191</v>
      </c>
      <c r="H174" s="223" t="s">
        <v>630</v>
      </c>
      <c r="I174" s="228" t="s">
        <v>638</v>
      </c>
      <c r="J174" s="157">
        <v>20001006</v>
      </c>
    </row>
    <row r="175" spans="1:10" x14ac:dyDescent="0.25">
      <c r="A175" s="185" t="s">
        <v>787</v>
      </c>
      <c r="B175" s="168" t="str">
        <f t="shared" si="26"/>
        <v>Le champ 200-020-01 doit être ≥ 0</v>
      </c>
      <c r="C175" s="240" t="s">
        <v>420</v>
      </c>
      <c r="D175" s="218">
        <f>'200'!F11</f>
        <v>0</v>
      </c>
      <c r="E175" s="145">
        <v>0</v>
      </c>
      <c r="F175" s="158">
        <f t="shared" si="34"/>
        <v>0</v>
      </c>
      <c r="G175" s="225" t="s">
        <v>191</v>
      </c>
      <c r="H175" s="228" t="s">
        <v>142</v>
      </c>
      <c r="I175" s="228" t="s">
        <v>420</v>
      </c>
      <c r="J175" s="157">
        <v>20002001</v>
      </c>
    </row>
    <row r="176" spans="1:10" x14ac:dyDescent="0.25">
      <c r="A176" s="185" t="s">
        <v>788</v>
      </c>
      <c r="B176" s="168" t="str">
        <f t="shared" si="26"/>
        <v>Le champ 200-020-02 doit être ≥ 0</v>
      </c>
      <c r="C176" s="240" t="s">
        <v>421</v>
      </c>
      <c r="D176" s="218">
        <f>'200'!G11</f>
        <v>0</v>
      </c>
      <c r="E176" s="145">
        <v>0</v>
      </c>
      <c r="F176" s="158">
        <f t="shared" si="34"/>
        <v>0</v>
      </c>
      <c r="G176" s="225" t="s">
        <v>191</v>
      </c>
      <c r="H176" s="228" t="s">
        <v>143</v>
      </c>
      <c r="I176" s="228" t="s">
        <v>421</v>
      </c>
      <c r="J176" s="157">
        <v>20002002</v>
      </c>
    </row>
    <row r="177" spans="1:10" x14ac:dyDescent="0.25">
      <c r="A177" s="185" t="s">
        <v>789</v>
      </c>
      <c r="B177" s="168" t="str">
        <f t="shared" si="26"/>
        <v>Le champ 200-020-04 doit être ≥ 0</v>
      </c>
      <c r="C177" s="240" t="s">
        <v>422</v>
      </c>
      <c r="D177" s="218">
        <f>'200'!K11</f>
        <v>0</v>
      </c>
      <c r="E177" s="145">
        <v>0</v>
      </c>
      <c r="F177" s="158">
        <f t="shared" si="34"/>
        <v>0</v>
      </c>
      <c r="G177" s="225" t="s">
        <v>191</v>
      </c>
      <c r="H177" s="228" t="s">
        <v>144</v>
      </c>
      <c r="I177" s="228" t="s">
        <v>422</v>
      </c>
      <c r="J177" s="157">
        <v>20002004</v>
      </c>
    </row>
    <row r="178" spans="1:10" x14ac:dyDescent="0.25">
      <c r="A178" s="185" t="s">
        <v>790</v>
      </c>
      <c r="B178" s="168" t="str">
        <f t="shared" si="26"/>
        <v>Le champ 200-020-05 doit être ≥ 0</v>
      </c>
      <c r="C178" s="240" t="s">
        <v>423</v>
      </c>
      <c r="D178" s="218">
        <f>'200'!L11</f>
        <v>0</v>
      </c>
      <c r="E178" s="145">
        <v>0</v>
      </c>
      <c r="F178" s="158">
        <f t="shared" si="34"/>
        <v>0</v>
      </c>
      <c r="G178" s="225" t="s">
        <v>191</v>
      </c>
      <c r="H178" s="228" t="s">
        <v>145</v>
      </c>
      <c r="I178" s="228" t="s">
        <v>423</v>
      </c>
      <c r="J178" s="157">
        <v>20002005</v>
      </c>
    </row>
    <row r="179" spans="1:10" x14ac:dyDescent="0.25">
      <c r="A179" s="185" t="s">
        <v>791</v>
      </c>
      <c r="B179" s="168" t="str">
        <f>IF(LangueChoisie=LangueFR,H179,I179)</f>
        <v>Le champ 200-020-06 doit être ≥ 0</v>
      </c>
      <c r="C179" s="240" t="s">
        <v>639</v>
      </c>
      <c r="D179" s="246">
        <f>_20002006</f>
        <v>0</v>
      </c>
      <c r="E179" s="245">
        <v>0</v>
      </c>
      <c r="F179" s="217">
        <f>IF(D179&gt;=E179,0,1)</f>
        <v>0</v>
      </c>
      <c r="G179" s="225" t="s">
        <v>191</v>
      </c>
      <c r="H179" s="223" t="s">
        <v>631</v>
      </c>
      <c r="I179" s="228" t="s">
        <v>639</v>
      </c>
      <c r="J179" s="157">
        <v>20002006</v>
      </c>
    </row>
    <row r="180" spans="1:10" x14ac:dyDescent="0.25">
      <c r="A180" s="185" t="s">
        <v>792</v>
      </c>
      <c r="B180" s="168" t="str">
        <f t="shared" si="26"/>
        <v>Le champ 200-030-01 doit être ≥ 0</v>
      </c>
      <c r="C180" s="240" t="s">
        <v>424</v>
      </c>
      <c r="D180" s="218">
        <f>'200'!F13</f>
        <v>0</v>
      </c>
      <c r="E180" s="145">
        <v>0</v>
      </c>
      <c r="F180" s="158">
        <f t="shared" si="34"/>
        <v>0</v>
      </c>
      <c r="G180" s="225" t="s">
        <v>191</v>
      </c>
      <c r="H180" s="228" t="s">
        <v>146</v>
      </c>
      <c r="I180" s="228" t="s">
        <v>424</v>
      </c>
      <c r="J180" s="157">
        <v>20003001</v>
      </c>
    </row>
    <row r="181" spans="1:10" x14ac:dyDescent="0.25">
      <c r="A181" s="185" t="s">
        <v>793</v>
      </c>
      <c r="B181" s="168" t="str">
        <f t="shared" ref="B181:B240" si="35">IF(LangueChoisie=LangueFR,H181,I181)</f>
        <v>Le champ 200-030-02 doit être ≥ 0</v>
      </c>
      <c r="C181" s="240" t="s">
        <v>425</v>
      </c>
      <c r="D181" s="218">
        <f>'200'!G13</f>
        <v>0</v>
      </c>
      <c r="E181" s="145">
        <v>0</v>
      </c>
      <c r="F181" s="158">
        <f t="shared" si="34"/>
        <v>0</v>
      </c>
      <c r="G181" s="225" t="s">
        <v>191</v>
      </c>
      <c r="H181" s="228" t="s">
        <v>147</v>
      </c>
      <c r="I181" s="228" t="s">
        <v>425</v>
      </c>
      <c r="J181" s="157">
        <v>20003002</v>
      </c>
    </row>
    <row r="182" spans="1:10" x14ac:dyDescent="0.25">
      <c r="A182" s="185" t="s">
        <v>794</v>
      </c>
      <c r="B182" s="168" t="str">
        <f t="shared" si="35"/>
        <v>Le champ 200-030-04 doit être ≥ 0</v>
      </c>
      <c r="C182" s="240" t="s">
        <v>426</v>
      </c>
      <c r="D182" s="218">
        <f>'200'!K13</f>
        <v>0</v>
      </c>
      <c r="E182" s="145">
        <v>0</v>
      </c>
      <c r="F182" s="158">
        <f t="shared" si="34"/>
        <v>0</v>
      </c>
      <c r="G182" s="225" t="s">
        <v>191</v>
      </c>
      <c r="H182" s="228" t="s">
        <v>148</v>
      </c>
      <c r="I182" s="228" t="s">
        <v>426</v>
      </c>
      <c r="J182" s="157">
        <v>20003004</v>
      </c>
    </row>
    <row r="183" spans="1:10" x14ac:dyDescent="0.25">
      <c r="A183" s="185" t="s">
        <v>795</v>
      </c>
      <c r="B183" s="168" t="str">
        <f t="shared" si="35"/>
        <v>Le champ 200-030-05 doit être ≥ 0</v>
      </c>
      <c r="C183" s="240" t="s">
        <v>427</v>
      </c>
      <c r="D183" s="218">
        <f>'200'!L13</f>
        <v>0</v>
      </c>
      <c r="E183" s="145">
        <v>0</v>
      </c>
      <c r="F183" s="158">
        <f t="shared" si="34"/>
        <v>0</v>
      </c>
      <c r="G183" s="225" t="s">
        <v>191</v>
      </c>
      <c r="H183" s="228" t="s">
        <v>149</v>
      </c>
      <c r="I183" s="228" t="s">
        <v>427</v>
      </c>
      <c r="J183" s="157">
        <v>20003005</v>
      </c>
    </row>
    <row r="184" spans="1:10" x14ac:dyDescent="0.25">
      <c r="A184" s="185" t="s">
        <v>796</v>
      </c>
      <c r="B184" s="168" t="str">
        <f>IF(LangueChoisie=LangueFR,H184,I184)</f>
        <v>Le champ 200-030-06 doit être ≥ 0</v>
      </c>
      <c r="C184" s="240" t="s">
        <v>640</v>
      </c>
      <c r="D184" s="246">
        <f>_20003006</f>
        <v>0</v>
      </c>
      <c r="E184" s="245">
        <v>0</v>
      </c>
      <c r="F184" s="217">
        <f>IF(D184&gt;=E184,0,1)</f>
        <v>0</v>
      </c>
      <c r="G184" s="225" t="s">
        <v>191</v>
      </c>
      <c r="H184" s="223" t="s">
        <v>632</v>
      </c>
      <c r="I184" s="228" t="s">
        <v>640</v>
      </c>
      <c r="J184" s="157">
        <v>20003006</v>
      </c>
    </row>
    <row r="185" spans="1:10" x14ac:dyDescent="0.25">
      <c r="A185" s="185" t="s">
        <v>797</v>
      </c>
      <c r="B185" s="168" t="str">
        <f t="shared" si="35"/>
        <v>Le champ 200-040-01 doit être ≥ 0</v>
      </c>
      <c r="C185" s="240" t="s">
        <v>428</v>
      </c>
      <c r="D185" s="218">
        <f>'200'!F18</f>
        <v>0</v>
      </c>
      <c r="E185" s="145">
        <v>0</v>
      </c>
      <c r="F185" s="158">
        <f t="shared" si="34"/>
        <v>0</v>
      </c>
      <c r="G185" s="225" t="s">
        <v>191</v>
      </c>
      <c r="H185" s="228" t="s">
        <v>150</v>
      </c>
      <c r="I185" s="228" t="s">
        <v>428</v>
      </c>
      <c r="J185" s="157">
        <v>20004001</v>
      </c>
    </row>
    <row r="186" spans="1:10" x14ac:dyDescent="0.25">
      <c r="A186" s="185" t="s">
        <v>798</v>
      </c>
      <c r="B186" s="168" t="str">
        <f t="shared" si="35"/>
        <v>Le champ 200-040-02 doit être ≥ 0</v>
      </c>
      <c r="C186" s="240" t="s">
        <v>429</v>
      </c>
      <c r="D186" s="218">
        <f>'200'!G18</f>
        <v>0</v>
      </c>
      <c r="E186" s="145">
        <v>0</v>
      </c>
      <c r="F186" s="158">
        <f t="shared" si="34"/>
        <v>0</v>
      </c>
      <c r="G186" s="225" t="s">
        <v>191</v>
      </c>
      <c r="H186" s="228" t="s">
        <v>151</v>
      </c>
      <c r="I186" s="228" t="s">
        <v>429</v>
      </c>
      <c r="J186" s="157">
        <v>20004002</v>
      </c>
    </row>
    <row r="187" spans="1:10" x14ac:dyDescent="0.25">
      <c r="A187" s="185" t="s">
        <v>799</v>
      </c>
      <c r="B187" s="168" t="str">
        <f t="shared" si="35"/>
        <v>Le champ 200-040-04 doit être ≥ 0</v>
      </c>
      <c r="C187" s="240" t="s">
        <v>430</v>
      </c>
      <c r="D187" s="218">
        <f>'200'!K18</f>
        <v>0</v>
      </c>
      <c r="E187" s="145">
        <v>0</v>
      </c>
      <c r="F187" s="158">
        <f t="shared" si="34"/>
        <v>0</v>
      </c>
      <c r="G187" s="225" t="s">
        <v>191</v>
      </c>
      <c r="H187" s="228" t="s">
        <v>152</v>
      </c>
      <c r="I187" s="228" t="s">
        <v>430</v>
      </c>
      <c r="J187" s="157">
        <v>20004004</v>
      </c>
    </row>
    <row r="188" spans="1:10" x14ac:dyDescent="0.25">
      <c r="A188" s="185" t="s">
        <v>800</v>
      </c>
      <c r="B188" s="168" t="str">
        <f t="shared" si="35"/>
        <v>Le champ 200-040-05 doit être ≥ 0</v>
      </c>
      <c r="C188" s="240" t="s">
        <v>431</v>
      </c>
      <c r="D188" s="218">
        <f>'200'!L18</f>
        <v>0</v>
      </c>
      <c r="E188" s="145">
        <v>0</v>
      </c>
      <c r="F188" s="158">
        <f t="shared" si="34"/>
        <v>0</v>
      </c>
      <c r="G188" s="225" t="s">
        <v>191</v>
      </c>
      <c r="H188" s="228" t="s">
        <v>153</v>
      </c>
      <c r="I188" s="228" t="s">
        <v>431</v>
      </c>
      <c r="J188" s="157">
        <v>20004005</v>
      </c>
    </row>
    <row r="189" spans="1:10" x14ac:dyDescent="0.25">
      <c r="A189" s="185" t="s">
        <v>801</v>
      </c>
      <c r="B189" s="168" t="str">
        <f>IF(LangueChoisie=LangueFR,H189,I189)</f>
        <v>Le champ 200-040-06 doit être ≥ 0</v>
      </c>
      <c r="C189" s="240" t="s">
        <v>641</v>
      </c>
      <c r="D189" s="246">
        <f>_20004006</f>
        <v>0</v>
      </c>
      <c r="E189" s="245">
        <v>0</v>
      </c>
      <c r="F189" s="217">
        <f>IF(D189&gt;=E189,0,1)</f>
        <v>0</v>
      </c>
      <c r="G189" s="225" t="s">
        <v>191</v>
      </c>
      <c r="H189" s="223" t="s">
        <v>633</v>
      </c>
      <c r="I189" s="228" t="s">
        <v>641</v>
      </c>
      <c r="J189" s="157">
        <v>20004006</v>
      </c>
    </row>
    <row r="190" spans="1:10" x14ac:dyDescent="0.25">
      <c r="A190" s="185" t="s">
        <v>687</v>
      </c>
      <c r="B190" s="168" t="str">
        <f t="shared" si="35"/>
        <v>Le champ 200-050-01 doit être ≥ 0</v>
      </c>
      <c r="C190" s="240" t="s">
        <v>432</v>
      </c>
      <c r="D190" s="218">
        <f>'200'!F20</f>
        <v>0</v>
      </c>
      <c r="E190" s="145">
        <v>0</v>
      </c>
      <c r="F190" s="158">
        <f t="shared" si="34"/>
        <v>0</v>
      </c>
      <c r="G190" s="225" t="s">
        <v>191</v>
      </c>
      <c r="H190" s="228" t="s">
        <v>154</v>
      </c>
      <c r="I190" s="228" t="s">
        <v>432</v>
      </c>
      <c r="J190" s="157">
        <v>20005001</v>
      </c>
    </row>
    <row r="191" spans="1:10" x14ac:dyDescent="0.25">
      <c r="A191" s="185" t="s">
        <v>688</v>
      </c>
      <c r="B191" s="168" t="str">
        <f t="shared" si="35"/>
        <v>Le champ 200-050-02 doit être ≥ 0</v>
      </c>
      <c r="C191" s="240" t="s">
        <v>433</v>
      </c>
      <c r="D191" s="218">
        <f>'200'!G20</f>
        <v>0</v>
      </c>
      <c r="E191" s="145">
        <v>0</v>
      </c>
      <c r="F191" s="158">
        <f t="shared" si="34"/>
        <v>0</v>
      </c>
      <c r="G191" s="225" t="s">
        <v>191</v>
      </c>
      <c r="H191" s="228" t="s">
        <v>155</v>
      </c>
      <c r="I191" s="228" t="s">
        <v>433</v>
      </c>
      <c r="J191" s="157">
        <v>20005002</v>
      </c>
    </row>
    <row r="192" spans="1:10" x14ac:dyDescent="0.25">
      <c r="A192" s="185" t="s">
        <v>693</v>
      </c>
      <c r="B192" s="168" t="str">
        <f t="shared" si="35"/>
        <v>Le champ 200-050-04 doit être ≥ 0</v>
      </c>
      <c r="C192" s="240" t="s">
        <v>434</v>
      </c>
      <c r="D192" s="218">
        <f>'200'!K20</f>
        <v>0</v>
      </c>
      <c r="E192" s="145">
        <v>0</v>
      </c>
      <c r="F192" s="158">
        <f t="shared" si="34"/>
        <v>0</v>
      </c>
      <c r="G192" s="225" t="s">
        <v>191</v>
      </c>
      <c r="H192" s="228" t="s">
        <v>156</v>
      </c>
      <c r="I192" s="228" t="s">
        <v>434</v>
      </c>
      <c r="J192" s="157">
        <v>20005004</v>
      </c>
    </row>
    <row r="193" spans="1:10" x14ac:dyDescent="0.25">
      <c r="A193" s="185" t="s">
        <v>694</v>
      </c>
      <c r="B193" s="168" t="str">
        <f t="shared" si="35"/>
        <v>Le champ 200-050-05 doit être ≥ 0</v>
      </c>
      <c r="C193" s="240" t="s">
        <v>435</v>
      </c>
      <c r="D193" s="218">
        <f>'200'!L20</f>
        <v>0</v>
      </c>
      <c r="E193" s="145">
        <v>0</v>
      </c>
      <c r="F193" s="158">
        <f t="shared" si="34"/>
        <v>0</v>
      </c>
      <c r="G193" s="225" t="s">
        <v>191</v>
      </c>
      <c r="H193" s="228" t="s">
        <v>157</v>
      </c>
      <c r="I193" s="228" t="s">
        <v>435</v>
      </c>
      <c r="J193" s="157">
        <v>20005005</v>
      </c>
    </row>
    <row r="194" spans="1:10" x14ac:dyDescent="0.25">
      <c r="A194" s="185" t="s">
        <v>701</v>
      </c>
      <c r="B194" s="168" t="str">
        <f>IF(LangueChoisie=LangueFR,H194,I194)</f>
        <v>Le champ 200-050-06 doit être ≥ 0</v>
      </c>
      <c r="C194" s="240" t="s">
        <v>642</v>
      </c>
      <c r="D194" s="246">
        <f>_20005006</f>
        <v>0</v>
      </c>
      <c r="E194" s="245">
        <v>0</v>
      </c>
      <c r="F194" s="217">
        <f>IF(D194&gt;=E194,0,1)</f>
        <v>0</v>
      </c>
      <c r="G194" s="225" t="s">
        <v>191</v>
      </c>
      <c r="H194" s="223" t="s">
        <v>634</v>
      </c>
      <c r="I194" s="228" t="s">
        <v>642</v>
      </c>
      <c r="J194" s="157">
        <v>20005006</v>
      </c>
    </row>
    <row r="195" spans="1:10" x14ac:dyDescent="0.25">
      <c r="A195" s="185" t="s">
        <v>702</v>
      </c>
      <c r="B195" s="168" t="str">
        <f t="shared" si="35"/>
        <v>Le champ 200-060-01 doit être ≥ 0</v>
      </c>
      <c r="C195" s="240" t="s">
        <v>436</v>
      </c>
      <c r="D195" s="218">
        <f>'200'!F22</f>
        <v>0</v>
      </c>
      <c r="E195" s="145">
        <v>0</v>
      </c>
      <c r="F195" s="158">
        <f t="shared" si="34"/>
        <v>0</v>
      </c>
      <c r="G195" s="225" t="s">
        <v>191</v>
      </c>
      <c r="H195" s="228" t="s">
        <v>158</v>
      </c>
      <c r="I195" s="228" t="s">
        <v>436</v>
      </c>
      <c r="J195" s="157">
        <v>20006001</v>
      </c>
    </row>
    <row r="196" spans="1:10" x14ac:dyDescent="0.25">
      <c r="A196" s="185" t="s">
        <v>709</v>
      </c>
      <c r="B196" s="168" t="str">
        <f t="shared" si="35"/>
        <v>Le champ 200-060-02 doit être ≥ 0</v>
      </c>
      <c r="C196" s="240" t="s">
        <v>437</v>
      </c>
      <c r="D196" s="218">
        <f>'200'!G22</f>
        <v>0</v>
      </c>
      <c r="E196" s="145">
        <v>0</v>
      </c>
      <c r="F196" s="158">
        <f t="shared" si="34"/>
        <v>0</v>
      </c>
      <c r="G196" s="225" t="s">
        <v>191</v>
      </c>
      <c r="H196" s="228" t="s">
        <v>159</v>
      </c>
      <c r="I196" s="228" t="s">
        <v>437</v>
      </c>
      <c r="J196" s="157">
        <v>20006002</v>
      </c>
    </row>
    <row r="197" spans="1:10" x14ac:dyDescent="0.25">
      <c r="A197" s="185" t="s">
        <v>710</v>
      </c>
      <c r="B197" s="168" t="str">
        <f t="shared" si="35"/>
        <v>Le champ 200-060-04 doit être ≥ 0</v>
      </c>
      <c r="C197" s="240" t="s">
        <v>438</v>
      </c>
      <c r="D197" s="218">
        <f>'200'!K22</f>
        <v>0</v>
      </c>
      <c r="E197" s="145">
        <v>0</v>
      </c>
      <c r="F197" s="158">
        <f t="shared" si="34"/>
        <v>0</v>
      </c>
      <c r="G197" s="225" t="s">
        <v>191</v>
      </c>
      <c r="H197" s="228" t="s">
        <v>160</v>
      </c>
      <c r="I197" s="228" t="s">
        <v>438</v>
      </c>
      <c r="J197" s="157">
        <v>20006004</v>
      </c>
    </row>
    <row r="198" spans="1:10" x14ac:dyDescent="0.25">
      <c r="A198" s="185" t="s">
        <v>713</v>
      </c>
      <c r="B198" s="168" t="str">
        <f t="shared" si="35"/>
        <v>Le champ 200-060-05 doit être ≥ 0</v>
      </c>
      <c r="C198" s="240" t="s">
        <v>439</v>
      </c>
      <c r="D198" s="218">
        <f>'200'!L22</f>
        <v>0</v>
      </c>
      <c r="E198" s="145">
        <v>0</v>
      </c>
      <c r="F198" s="158">
        <f t="shared" si="34"/>
        <v>0</v>
      </c>
      <c r="G198" s="225" t="s">
        <v>191</v>
      </c>
      <c r="H198" s="228" t="s">
        <v>161</v>
      </c>
      <c r="I198" s="228" t="s">
        <v>439</v>
      </c>
      <c r="J198" s="157">
        <v>20006005</v>
      </c>
    </row>
    <row r="199" spans="1:10" x14ac:dyDescent="0.25">
      <c r="A199" s="185" t="s">
        <v>714</v>
      </c>
      <c r="B199" s="168" t="str">
        <f>IF(LangueChoisie=LangueFR,H199,I199)</f>
        <v>Le champ 200-060-06 doit être ≥ 0</v>
      </c>
      <c r="C199" s="240" t="s">
        <v>643</v>
      </c>
      <c r="D199" s="246">
        <f>_20006006</f>
        <v>0</v>
      </c>
      <c r="E199" s="245">
        <v>0</v>
      </c>
      <c r="F199" s="217">
        <f>IF(D199&gt;=E199,0,1)</f>
        <v>0</v>
      </c>
      <c r="G199" s="225" t="s">
        <v>191</v>
      </c>
      <c r="H199" s="223" t="s">
        <v>635</v>
      </c>
      <c r="I199" s="228" t="s">
        <v>643</v>
      </c>
      <c r="J199" s="157">
        <v>20006006</v>
      </c>
    </row>
    <row r="200" spans="1:10" x14ac:dyDescent="0.25">
      <c r="A200" s="185" t="s">
        <v>715</v>
      </c>
      <c r="B200" s="168" t="str">
        <f t="shared" si="35"/>
        <v>Le champ 200-070-01 doit être ≥ 0</v>
      </c>
      <c r="C200" s="240" t="s">
        <v>440</v>
      </c>
      <c r="D200" s="218">
        <f>'200'!F24</f>
        <v>0</v>
      </c>
      <c r="E200" s="145">
        <v>0</v>
      </c>
      <c r="F200" s="158">
        <f t="shared" si="34"/>
        <v>0</v>
      </c>
      <c r="G200" s="225" t="s">
        <v>191</v>
      </c>
      <c r="H200" s="228" t="s">
        <v>162</v>
      </c>
      <c r="I200" s="228" t="s">
        <v>440</v>
      </c>
      <c r="J200" s="157">
        <v>20007001</v>
      </c>
    </row>
    <row r="201" spans="1:10" x14ac:dyDescent="0.25">
      <c r="A201" s="185" t="s">
        <v>606</v>
      </c>
      <c r="B201" s="168" t="str">
        <f t="shared" si="35"/>
        <v>Le champ 200-070-02 doit être ≥ 0</v>
      </c>
      <c r="C201" s="240" t="s">
        <v>441</v>
      </c>
      <c r="D201" s="218">
        <f>'200'!G24</f>
        <v>0</v>
      </c>
      <c r="E201" s="145">
        <v>0</v>
      </c>
      <c r="F201" s="158">
        <f t="shared" si="34"/>
        <v>0</v>
      </c>
      <c r="G201" s="225" t="s">
        <v>191</v>
      </c>
      <c r="H201" s="228" t="s">
        <v>163</v>
      </c>
      <c r="I201" s="228" t="s">
        <v>441</v>
      </c>
      <c r="J201" s="157">
        <v>20007002</v>
      </c>
    </row>
    <row r="202" spans="1:10" x14ac:dyDescent="0.25">
      <c r="A202" s="185" t="s">
        <v>724</v>
      </c>
      <c r="B202" s="168" t="str">
        <f t="shared" si="35"/>
        <v>Le champ 200-070-04 doit être ≥ 0</v>
      </c>
      <c r="C202" s="240" t="s">
        <v>442</v>
      </c>
      <c r="D202" s="218">
        <f>'200'!K24</f>
        <v>0</v>
      </c>
      <c r="E202" s="145">
        <v>0</v>
      </c>
      <c r="F202" s="158">
        <f t="shared" si="34"/>
        <v>0</v>
      </c>
      <c r="G202" s="225" t="s">
        <v>191</v>
      </c>
      <c r="H202" s="228" t="s">
        <v>164</v>
      </c>
      <c r="I202" s="228" t="s">
        <v>442</v>
      </c>
      <c r="J202" s="157">
        <v>20007004</v>
      </c>
    </row>
    <row r="203" spans="1:10" x14ac:dyDescent="0.25">
      <c r="A203" s="185" t="s">
        <v>725</v>
      </c>
      <c r="B203" s="168" t="str">
        <f t="shared" si="35"/>
        <v>Le champ 200-070-05 doit être ≥ 0</v>
      </c>
      <c r="C203" s="240" t="s">
        <v>443</v>
      </c>
      <c r="D203" s="218">
        <f>'200'!L24</f>
        <v>0</v>
      </c>
      <c r="E203" s="145">
        <v>0</v>
      </c>
      <c r="F203" s="158">
        <f t="shared" si="34"/>
        <v>0</v>
      </c>
      <c r="G203" s="225" t="s">
        <v>191</v>
      </c>
      <c r="H203" s="228" t="s">
        <v>165</v>
      </c>
      <c r="I203" s="228" t="s">
        <v>443</v>
      </c>
      <c r="J203" s="157">
        <v>20007005</v>
      </c>
    </row>
    <row r="204" spans="1:10" x14ac:dyDescent="0.25">
      <c r="A204" s="185" t="s">
        <v>726</v>
      </c>
      <c r="B204" s="168" t="str">
        <f>IF(LangueChoisie=LangueFR,H204,I204)</f>
        <v>Le champ 200-070-06 doit être ≥ 0</v>
      </c>
      <c r="C204" s="240" t="s">
        <v>644</v>
      </c>
      <c r="D204" s="246">
        <f>_20007006</f>
        <v>0</v>
      </c>
      <c r="E204" s="245">
        <v>0</v>
      </c>
      <c r="F204" s="217">
        <f>IF(D204&gt;=E204,0,1)</f>
        <v>0</v>
      </c>
      <c r="G204" s="225" t="s">
        <v>191</v>
      </c>
      <c r="H204" s="223" t="s">
        <v>636</v>
      </c>
      <c r="I204" s="228" t="s">
        <v>644</v>
      </c>
      <c r="J204" s="157">
        <v>20007006</v>
      </c>
    </row>
    <row r="205" spans="1:10" x14ac:dyDescent="0.25">
      <c r="A205" s="185" t="s">
        <v>727</v>
      </c>
      <c r="B205" s="168" t="str">
        <f t="shared" si="35"/>
        <v>Le champ 200-080-01 doit être ≥ 0</v>
      </c>
      <c r="C205" s="240" t="s">
        <v>444</v>
      </c>
      <c r="D205" s="218">
        <f>'200'!F26</f>
        <v>0</v>
      </c>
      <c r="E205" s="145">
        <v>0</v>
      </c>
      <c r="F205" s="158">
        <f t="shared" si="34"/>
        <v>0</v>
      </c>
      <c r="G205" s="225" t="s">
        <v>191</v>
      </c>
      <c r="H205" s="228" t="s">
        <v>166</v>
      </c>
      <c r="I205" s="228" t="s">
        <v>444</v>
      </c>
      <c r="J205" s="157">
        <v>20008001</v>
      </c>
    </row>
    <row r="206" spans="1:10" x14ac:dyDescent="0.25">
      <c r="A206" s="185" t="s">
        <v>728</v>
      </c>
      <c r="B206" s="168" t="str">
        <f t="shared" si="35"/>
        <v>Le champ 200-080-02 doit être ≥ 0</v>
      </c>
      <c r="C206" s="240" t="s">
        <v>445</v>
      </c>
      <c r="D206" s="218">
        <f>'200'!G26</f>
        <v>0</v>
      </c>
      <c r="E206" s="145">
        <v>0</v>
      </c>
      <c r="F206" s="158">
        <f t="shared" si="34"/>
        <v>0</v>
      </c>
      <c r="G206" s="225" t="s">
        <v>191</v>
      </c>
      <c r="H206" s="228" t="s">
        <v>167</v>
      </c>
      <c r="I206" s="228" t="s">
        <v>445</v>
      </c>
      <c r="J206" s="157">
        <v>20008002</v>
      </c>
    </row>
    <row r="207" spans="1:10" x14ac:dyDescent="0.25">
      <c r="A207" s="185" t="s">
        <v>729</v>
      </c>
      <c r="B207" s="168" t="str">
        <f t="shared" si="35"/>
        <v>Le champ 200-080-04 doit être ≥ 0</v>
      </c>
      <c r="C207" s="240" t="s">
        <v>446</v>
      </c>
      <c r="D207" s="218">
        <f>'200'!K26</f>
        <v>0</v>
      </c>
      <c r="E207" s="145">
        <v>0</v>
      </c>
      <c r="F207" s="158">
        <f t="shared" si="34"/>
        <v>0</v>
      </c>
      <c r="G207" s="225" t="s">
        <v>191</v>
      </c>
      <c r="H207" s="228" t="s">
        <v>168</v>
      </c>
      <c r="I207" s="228" t="s">
        <v>446</v>
      </c>
      <c r="J207" s="157">
        <v>20008004</v>
      </c>
    </row>
    <row r="208" spans="1:10" x14ac:dyDescent="0.25">
      <c r="A208" s="185" t="s">
        <v>730</v>
      </c>
      <c r="B208" s="168" t="str">
        <f t="shared" si="35"/>
        <v>Le champ 200-080-05 doit être ≥ 0</v>
      </c>
      <c r="C208" s="240" t="s">
        <v>447</v>
      </c>
      <c r="D208" s="218">
        <f>'200'!L26</f>
        <v>0</v>
      </c>
      <c r="E208" s="145">
        <v>0</v>
      </c>
      <c r="F208" s="158">
        <f t="shared" si="34"/>
        <v>0</v>
      </c>
      <c r="G208" s="225" t="s">
        <v>191</v>
      </c>
      <c r="H208" s="228" t="s">
        <v>169</v>
      </c>
      <c r="I208" s="228" t="s">
        <v>447</v>
      </c>
      <c r="J208" s="157">
        <v>20008005</v>
      </c>
    </row>
    <row r="209" spans="1:10" x14ac:dyDescent="0.25">
      <c r="A209" s="185" t="s">
        <v>731</v>
      </c>
      <c r="B209" s="168" t="str">
        <f>IF(LangueChoisie=LangueFR,H209,I209)</f>
        <v>Le champ 200-080-06 doit être ≥ 0</v>
      </c>
      <c r="C209" s="240" t="s">
        <v>645</v>
      </c>
      <c r="D209" s="246">
        <f>_20008006</f>
        <v>0</v>
      </c>
      <c r="E209" s="245">
        <v>0</v>
      </c>
      <c r="F209" s="217">
        <f t="shared" ref="F209:F213" si="36">IF(D209&gt;=E209,0,1)</f>
        <v>0</v>
      </c>
      <c r="G209" s="225" t="s">
        <v>191</v>
      </c>
      <c r="H209" s="223" t="s">
        <v>637</v>
      </c>
      <c r="I209" s="228" t="s">
        <v>645</v>
      </c>
      <c r="J209" s="157">
        <v>20008006</v>
      </c>
    </row>
    <row r="210" spans="1:10" x14ac:dyDescent="0.25">
      <c r="A210" s="185" t="s">
        <v>732</v>
      </c>
      <c r="B210" s="168" t="str">
        <f t="shared" ref="B210:B213" si="37">IF(LangueChoisie=LangueFR,H210,I210)</f>
        <v>Le champ 200-085-01 doit être ≥ 0</v>
      </c>
      <c r="C210" s="240" t="s">
        <v>444</v>
      </c>
      <c r="D210" s="247">
        <f>_20008501</f>
        <v>0</v>
      </c>
      <c r="E210" s="248">
        <v>0</v>
      </c>
      <c r="F210" s="219">
        <f t="shared" si="36"/>
        <v>0</v>
      </c>
      <c r="G210" s="225" t="s">
        <v>191</v>
      </c>
      <c r="H210" s="228" t="s">
        <v>804</v>
      </c>
      <c r="I210" s="228" t="s">
        <v>809</v>
      </c>
      <c r="J210" s="157">
        <v>20008501</v>
      </c>
    </row>
    <row r="211" spans="1:10" x14ac:dyDescent="0.25">
      <c r="A211" s="185" t="s">
        <v>733</v>
      </c>
      <c r="B211" s="168" t="str">
        <f t="shared" si="37"/>
        <v>Le champ 200-085-02 doit être ≥ 0</v>
      </c>
      <c r="C211" s="240" t="s">
        <v>445</v>
      </c>
      <c r="D211" s="247">
        <f>_20008502</f>
        <v>0</v>
      </c>
      <c r="E211" s="248">
        <v>0</v>
      </c>
      <c r="F211" s="219">
        <f t="shared" si="36"/>
        <v>0</v>
      </c>
      <c r="G211" s="225" t="s">
        <v>191</v>
      </c>
      <c r="H211" s="228" t="s">
        <v>805</v>
      </c>
      <c r="I211" s="228" t="s">
        <v>810</v>
      </c>
      <c r="J211" s="157">
        <v>20008502</v>
      </c>
    </row>
    <row r="212" spans="1:10" x14ac:dyDescent="0.25">
      <c r="A212" s="185" t="s">
        <v>734</v>
      </c>
      <c r="B212" s="168" t="str">
        <f t="shared" si="37"/>
        <v>Le champ 200-085-04 doit être ≥ 0</v>
      </c>
      <c r="C212" s="240" t="s">
        <v>446</v>
      </c>
      <c r="D212" s="247">
        <f>_20008504</f>
        <v>0</v>
      </c>
      <c r="E212" s="248">
        <v>0</v>
      </c>
      <c r="F212" s="219">
        <f t="shared" si="36"/>
        <v>0</v>
      </c>
      <c r="G212" s="225" t="s">
        <v>191</v>
      </c>
      <c r="H212" s="228" t="s">
        <v>806</v>
      </c>
      <c r="I212" s="228" t="s">
        <v>811</v>
      </c>
      <c r="J212" s="157">
        <v>20008504</v>
      </c>
    </row>
    <row r="213" spans="1:10" x14ac:dyDescent="0.25">
      <c r="A213" s="185" t="s">
        <v>735</v>
      </c>
      <c r="B213" s="168" t="str">
        <f t="shared" si="37"/>
        <v>Le champ 200-085-05 doit être ≥ 0</v>
      </c>
      <c r="C213" s="240" t="s">
        <v>447</v>
      </c>
      <c r="D213" s="247">
        <f>_20008505</f>
        <v>0</v>
      </c>
      <c r="E213" s="248">
        <v>0</v>
      </c>
      <c r="F213" s="219">
        <f t="shared" si="36"/>
        <v>0</v>
      </c>
      <c r="G213" s="225" t="s">
        <v>191</v>
      </c>
      <c r="H213" s="228" t="s">
        <v>807</v>
      </c>
      <c r="I213" s="228" t="s">
        <v>812</v>
      </c>
      <c r="J213" s="157">
        <v>20008505</v>
      </c>
    </row>
    <row r="214" spans="1:10" x14ac:dyDescent="0.25">
      <c r="A214" s="185" t="s">
        <v>736</v>
      </c>
      <c r="B214" s="168" t="str">
        <f>IF(LangueChoisie=LangueFR,H214,I214)</f>
        <v>Le champ 200-085-06 doit être ≥ 0</v>
      </c>
      <c r="C214" s="240" t="s">
        <v>645</v>
      </c>
      <c r="D214" s="247">
        <f>_20008506</f>
        <v>0</v>
      </c>
      <c r="E214" s="245">
        <v>0</v>
      </c>
      <c r="F214" s="219">
        <f t="shared" ref="F214:F218" si="38">IF(D214&gt;=E214,0,1)</f>
        <v>0</v>
      </c>
      <c r="G214" s="225" t="s">
        <v>191</v>
      </c>
      <c r="H214" s="228" t="s">
        <v>808</v>
      </c>
      <c r="I214" s="228" t="s">
        <v>813</v>
      </c>
      <c r="J214" s="157">
        <v>20008506</v>
      </c>
    </row>
    <row r="215" spans="1:10" x14ac:dyDescent="0.25">
      <c r="A215" s="185" t="s">
        <v>747</v>
      </c>
      <c r="B215" s="168" t="str">
        <f t="shared" ref="B215:B218" si="39">IF(LangueChoisie=LangueFR,H215,I215)</f>
        <v>Le champ 200-086-01 doit être ≥ 0</v>
      </c>
      <c r="C215" s="240" t="s">
        <v>444</v>
      </c>
      <c r="D215" s="247">
        <f>_20008601</f>
        <v>0</v>
      </c>
      <c r="E215" s="248">
        <v>0</v>
      </c>
      <c r="F215" s="219">
        <f t="shared" si="38"/>
        <v>0</v>
      </c>
      <c r="G215" s="225" t="s">
        <v>191</v>
      </c>
      <c r="H215" s="228" t="s">
        <v>819</v>
      </c>
      <c r="I215" s="228" t="s">
        <v>814</v>
      </c>
      <c r="J215" s="157">
        <v>20008601</v>
      </c>
    </row>
    <row r="216" spans="1:10" x14ac:dyDescent="0.25">
      <c r="A216" s="185" t="s">
        <v>748</v>
      </c>
      <c r="B216" s="168" t="str">
        <f t="shared" si="39"/>
        <v>Le champ 200-086-02 doit être ≥ 0</v>
      </c>
      <c r="C216" s="240" t="s">
        <v>445</v>
      </c>
      <c r="D216" s="247">
        <f>_20008602</f>
        <v>0</v>
      </c>
      <c r="E216" s="248">
        <v>0</v>
      </c>
      <c r="F216" s="219">
        <f t="shared" si="38"/>
        <v>0</v>
      </c>
      <c r="G216" s="225" t="s">
        <v>191</v>
      </c>
      <c r="H216" s="228" t="s">
        <v>820</v>
      </c>
      <c r="I216" s="228" t="s">
        <v>815</v>
      </c>
      <c r="J216" s="157">
        <v>20008602</v>
      </c>
    </row>
    <row r="217" spans="1:10" x14ac:dyDescent="0.25">
      <c r="A217" s="185" t="s">
        <v>749</v>
      </c>
      <c r="B217" s="168" t="str">
        <f t="shared" si="39"/>
        <v>Le champ 200-086-04 doit être ≥ 0</v>
      </c>
      <c r="C217" s="240" t="s">
        <v>446</v>
      </c>
      <c r="D217" s="247">
        <f>_20008604</f>
        <v>0</v>
      </c>
      <c r="E217" s="248">
        <v>0</v>
      </c>
      <c r="F217" s="219">
        <f t="shared" si="38"/>
        <v>0</v>
      </c>
      <c r="G217" s="225" t="s">
        <v>191</v>
      </c>
      <c r="H217" s="228" t="s">
        <v>821</v>
      </c>
      <c r="I217" s="228" t="s">
        <v>816</v>
      </c>
      <c r="J217" s="157">
        <v>20008604</v>
      </c>
    </row>
    <row r="218" spans="1:10" x14ac:dyDescent="0.25">
      <c r="A218" s="185" t="s">
        <v>750</v>
      </c>
      <c r="B218" s="168" t="str">
        <f t="shared" si="39"/>
        <v>Le champ 200-086-05 doit être ≥ 0</v>
      </c>
      <c r="C218" s="240" t="s">
        <v>447</v>
      </c>
      <c r="D218" s="247">
        <f>_20008605</f>
        <v>0</v>
      </c>
      <c r="E218" s="248">
        <v>0</v>
      </c>
      <c r="F218" s="219">
        <f t="shared" si="38"/>
        <v>0</v>
      </c>
      <c r="G218" s="225" t="s">
        <v>191</v>
      </c>
      <c r="H218" s="228" t="s">
        <v>822</v>
      </c>
      <c r="I218" s="228" t="s">
        <v>817</v>
      </c>
      <c r="J218" s="157">
        <v>20008605</v>
      </c>
    </row>
    <row r="219" spans="1:10" x14ac:dyDescent="0.25">
      <c r="A219" s="185" t="s">
        <v>751</v>
      </c>
      <c r="B219" s="168" t="str">
        <f t="shared" ref="B219:B237" si="40">IF(LangueChoisie=LangueFR,H219,I219)</f>
        <v>Le champ 200-086-06 doit être ≥ 0</v>
      </c>
      <c r="C219" s="240" t="s">
        <v>645</v>
      </c>
      <c r="D219" s="247">
        <f>_20008606</f>
        <v>0</v>
      </c>
      <c r="E219" s="245">
        <v>0</v>
      </c>
      <c r="F219" s="219">
        <f t="shared" ref="F219:F223" si="41">IF(D219&gt;=E219,0,1)</f>
        <v>0</v>
      </c>
      <c r="G219" s="225" t="s">
        <v>191</v>
      </c>
      <c r="H219" s="228" t="s">
        <v>823</v>
      </c>
      <c r="I219" s="228" t="s">
        <v>818</v>
      </c>
      <c r="J219" s="157">
        <v>20008606</v>
      </c>
    </row>
    <row r="220" spans="1:10" x14ac:dyDescent="0.25">
      <c r="A220" s="185" t="s">
        <v>802</v>
      </c>
      <c r="B220" s="168" t="str">
        <f t="shared" si="40"/>
        <v>Le champ 200-087-01 doit être ≥ 0</v>
      </c>
      <c r="C220" s="240" t="s">
        <v>444</v>
      </c>
      <c r="D220" s="247">
        <f>_20008701</f>
        <v>0</v>
      </c>
      <c r="E220" s="248">
        <v>0</v>
      </c>
      <c r="F220" s="219">
        <f t="shared" si="41"/>
        <v>0</v>
      </c>
      <c r="G220" s="225" t="s">
        <v>191</v>
      </c>
      <c r="H220" s="228" t="s">
        <v>868</v>
      </c>
      <c r="I220" s="228" t="s">
        <v>869</v>
      </c>
      <c r="J220" s="157">
        <v>20008701</v>
      </c>
    </row>
    <row r="221" spans="1:10" x14ac:dyDescent="0.25">
      <c r="A221" s="185" t="s">
        <v>803</v>
      </c>
      <c r="B221" s="168" t="str">
        <f t="shared" si="40"/>
        <v>Le champ 200-087-02 doit être ≥ 0</v>
      </c>
      <c r="C221" s="240" t="s">
        <v>445</v>
      </c>
      <c r="D221" s="247">
        <f>_20008702</f>
        <v>0</v>
      </c>
      <c r="E221" s="248">
        <v>0</v>
      </c>
      <c r="F221" s="219">
        <f t="shared" si="41"/>
        <v>0</v>
      </c>
      <c r="G221" s="225" t="s">
        <v>191</v>
      </c>
      <c r="H221" s="228" t="s">
        <v>870</v>
      </c>
      <c r="I221" s="228" t="s">
        <v>871</v>
      </c>
      <c r="J221" s="157">
        <v>20008702</v>
      </c>
    </row>
    <row r="222" spans="1:10" x14ac:dyDescent="0.25">
      <c r="A222" s="185" t="s">
        <v>880</v>
      </c>
      <c r="B222" s="168" t="str">
        <f t="shared" si="40"/>
        <v>Le champ 200-087-04 doit être ≥ 0</v>
      </c>
      <c r="C222" s="240" t="s">
        <v>446</v>
      </c>
      <c r="D222" s="247">
        <f>_20008704</f>
        <v>0</v>
      </c>
      <c r="E222" s="248">
        <v>0</v>
      </c>
      <c r="F222" s="219">
        <f t="shared" si="41"/>
        <v>0</v>
      </c>
      <c r="G222" s="225" t="s">
        <v>191</v>
      </c>
      <c r="H222" s="228" t="s">
        <v>872</v>
      </c>
      <c r="I222" s="228" t="s">
        <v>873</v>
      </c>
      <c r="J222" s="157">
        <v>20008704</v>
      </c>
    </row>
    <row r="223" spans="1:10" x14ac:dyDescent="0.25">
      <c r="A223" s="185" t="s">
        <v>881</v>
      </c>
      <c r="B223" s="168" t="str">
        <f t="shared" si="40"/>
        <v>Le champ 200-087-05 doit être ≥ 0</v>
      </c>
      <c r="C223" s="240" t="s">
        <v>447</v>
      </c>
      <c r="D223" s="247">
        <f>_20008705</f>
        <v>0</v>
      </c>
      <c r="E223" s="248">
        <v>0</v>
      </c>
      <c r="F223" s="219">
        <f t="shared" si="41"/>
        <v>0</v>
      </c>
      <c r="G223" s="225" t="s">
        <v>191</v>
      </c>
      <c r="H223" s="228" t="s">
        <v>874</v>
      </c>
      <c r="I223" s="228" t="s">
        <v>875</v>
      </c>
      <c r="J223" s="157">
        <v>20008705</v>
      </c>
    </row>
    <row r="224" spans="1:10" x14ac:dyDescent="0.25">
      <c r="A224" s="185" t="s">
        <v>882</v>
      </c>
      <c r="B224" s="168" t="str">
        <f t="shared" ref="B224" si="42">IF(LangueChoisie=LangueFR,H224,I224)</f>
        <v>Le champ 200-087-06 doit être ≥ 0</v>
      </c>
      <c r="C224" s="240" t="s">
        <v>645</v>
      </c>
      <c r="D224" s="247">
        <f>_20008706</f>
        <v>0</v>
      </c>
      <c r="E224" s="245">
        <v>0</v>
      </c>
      <c r="F224" s="219">
        <f t="shared" ref="F224" si="43">IF(D224&gt;=E224,0,1)</f>
        <v>0</v>
      </c>
      <c r="G224" s="225" t="s">
        <v>191</v>
      </c>
      <c r="H224" s="228" t="s">
        <v>876</v>
      </c>
      <c r="I224" s="228" t="s">
        <v>877</v>
      </c>
      <c r="J224" s="157">
        <v>20008706</v>
      </c>
    </row>
    <row r="225" spans="1:10" x14ac:dyDescent="0.25">
      <c r="A225" s="185" t="s">
        <v>883</v>
      </c>
      <c r="B225" s="168" t="str">
        <f t="shared" si="40"/>
        <v>Le champ 200-010-06 doit être ≤ à 200-010-03</v>
      </c>
      <c r="C225" s="240" t="s">
        <v>655</v>
      </c>
      <c r="D225" s="233">
        <f>_20001006</f>
        <v>0</v>
      </c>
      <c r="E225" s="245">
        <f>_20001003</f>
        <v>0</v>
      </c>
      <c r="F225" s="217">
        <f>IF(D225&lt;=E225,0,1)</f>
        <v>0</v>
      </c>
      <c r="G225" s="225" t="s">
        <v>191</v>
      </c>
      <c r="H225" s="223" t="s">
        <v>646</v>
      </c>
      <c r="I225" s="228" t="s">
        <v>655</v>
      </c>
      <c r="J225" s="157">
        <v>20001006</v>
      </c>
    </row>
    <row r="226" spans="1:10" x14ac:dyDescent="0.25">
      <c r="A226" s="185" t="s">
        <v>884</v>
      </c>
      <c r="B226" s="168" t="str">
        <f t="shared" si="40"/>
        <v>Le champ 200-020-06 doit être ≤ à 200-020-03</v>
      </c>
      <c r="C226" s="240" t="s">
        <v>656</v>
      </c>
      <c r="D226" s="233">
        <f>_20002006</f>
        <v>0</v>
      </c>
      <c r="E226" s="245">
        <f>_20002003</f>
        <v>0</v>
      </c>
      <c r="F226" s="217">
        <f t="shared" ref="F226:F236" si="44">IF(D226&lt;=E226,0,1)</f>
        <v>0</v>
      </c>
      <c r="G226" s="225" t="s">
        <v>191</v>
      </c>
      <c r="H226" s="223" t="s">
        <v>647</v>
      </c>
      <c r="I226" s="228" t="s">
        <v>656</v>
      </c>
      <c r="J226" s="157">
        <v>20002006</v>
      </c>
    </row>
    <row r="227" spans="1:10" x14ac:dyDescent="0.25">
      <c r="A227" s="185" t="s">
        <v>885</v>
      </c>
      <c r="B227" s="168" t="str">
        <f t="shared" si="40"/>
        <v>Le champ 200-030-06 doit être ≤ à 200-030-03</v>
      </c>
      <c r="C227" s="240" t="s">
        <v>657</v>
      </c>
      <c r="D227" s="233">
        <f>_20003006</f>
        <v>0</v>
      </c>
      <c r="E227" s="245">
        <f>_20003003</f>
        <v>0</v>
      </c>
      <c r="F227" s="217">
        <f t="shared" si="44"/>
        <v>0</v>
      </c>
      <c r="G227" s="225" t="s">
        <v>191</v>
      </c>
      <c r="H227" s="223" t="s">
        <v>648</v>
      </c>
      <c r="I227" s="228" t="s">
        <v>657</v>
      </c>
      <c r="J227" s="157">
        <v>20003006</v>
      </c>
    </row>
    <row r="228" spans="1:10" x14ac:dyDescent="0.25">
      <c r="A228" s="185" t="s">
        <v>886</v>
      </c>
      <c r="B228" s="168" t="str">
        <f t="shared" si="40"/>
        <v>Le champ 200-040-06 doit être ≤ à 200-040-03</v>
      </c>
      <c r="C228" s="240" t="s">
        <v>658</v>
      </c>
      <c r="D228" s="233">
        <f>_20004006</f>
        <v>0</v>
      </c>
      <c r="E228" s="245">
        <f>_20004003</f>
        <v>0</v>
      </c>
      <c r="F228" s="217">
        <f t="shared" si="44"/>
        <v>0</v>
      </c>
      <c r="G228" s="225" t="s">
        <v>191</v>
      </c>
      <c r="H228" s="223" t="s">
        <v>649</v>
      </c>
      <c r="I228" s="228" t="s">
        <v>658</v>
      </c>
      <c r="J228" s="157">
        <v>20004006</v>
      </c>
    </row>
    <row r="229" spans="1:10" x14ac:dyDescent="0.25">
      <c r="A229" s="185" t="s">
        <v>887</v>
      </c>
      <c r="B229" s="168" t="str">
        <f t="shared" si="40"/>
        <v>Le champ 200-050-06 doit être ≤ à 200-050-03</v>
      </c>
      <c r="C229" s="240" t="s">
        <v>659</v>
      </c>
      <c r="D229" s="233">
        <f>_20005006</f>
        <v>0</v>
      </c>
      <c r="E229" s="245">
        <f>_20005003</f>
        <v>0</v>
      </c>
      <c r="F229" s="217">
        <f t="shared" si="44"/>
        <v>0</v>
      </c>
      <c r="G229" s="225" t="s">
        <v>191</v>
      </c>
      <c r="H229" s="223" t="s">
        <v>650</v>
      </c>
      <c r="I229" s="228" t="s">
        <v>659</v>
      </c>
      <c r="J229" s="157">
        <v>20005006</v>
      </c>
    </row>
    <row r="230" spans="1:10" x14ac:dyDescent="0.25">
      <c r="A230" s="185" t="s">
        <v>888</v>
      </c>
      <c r="B230" s="168" t="str">
        <f t="shared" si="40"/>
        <v>Le champ 200-060-06 doit être ≤ à 200-060-03</v>
      </c>
      <c r="C230" s="240" t="s">
        <v>660</v>
      </c>
      <c r="D230" s="233">
        <f>_20006006</f>
        <v>0</v>
      </c>
      <c r="E230" s="245">
        <f>_20006003</f>
        <v>0</v>
      </c>
      <c r="F230" s="217">
        <f t="shared" si="44"/>
        <v>0</v>
      </c>
      <c r="G230" s="225" t="s">
        <v>191</v>
      </c>
      <c r="H230" s="223" t="s">
        <v>651</v>
      </c>
      <c r="I230" s="228" t="s">
        <v>660</v>
      </c>
      <c r="J230" s="157">
        <v>20006006</v>
      </c>
    </row>
    <row r="231" spans="1:10" x14ac:dyDescent="0.25">
      <c r="A231" s="185" t="s">
        <v>889</v>
      </c>
      <c r="B231" s="168" t="str">
        <f t="shared" si="40"/>
        <v>Le champ 200-070-06 doit être ≤ à 200-070-03</v>
      </c>
      <c r="C231" s="240" t="s">
        <v>661</v>
      </c>
      <c r="D231" s="233">
        <f>_20007006</f>
        <v>0</v>
      </c>
      <c r="E231" s="245">
        <f>_20007003</f>
        <v>0</v>
      </c>
      <c r="F231" s="217">
        <f t="shared" si="44"/>
        <v>0</v>
      </c>
      <c r="G231" s="225" t="s">
        <v>191</v>
      </c>
      <c r="H231" s="223" t="s">
        <v>652</v>
      </c>
      <c r="I231" s="228" t="s">
        <v>661</v>
      </c>
      <c r="J231" s="157">
        <v>20007006</v>
      </c>
    </row>
    <row r="232" spans="1:10" x14ac:dyDescent="0.25">
      <c r="A232" s="185" t="s">
        <v>890</v>
      </c>
      <c r="B232" s="168" t="str">
        <f t="shared" si="40"/>
        <v>Le champ 200-080-06 doit être ≤ à 200-080-03</v>
      </c>
      <c r="C232" s="240" t="s">
        <v>662</v>
      </c>
      <c r="D232" s="233">
        <f>_20008006</f>
        <v>0</v>
      </c>
      <c r="E232" s="245">
        <f>_20008003</f>
        <v>0</v>
      </c>
      <c r="F232" s="217">
        <f t="shared" si="44"/>
        <v>0</v>
      </c>
      <c r="G232" s="225" t="s">
        <v>191</v>
      </c>
      <c r="H232" s="223" t="s">
        <v>653</v>
      </c>
      <c r="I232" s="228" t="s">
        <v>662</v>
      </c>
      <c r="J232" s="157">
        <v>20008006</v>
      </c>
    </row>
    <row r="233" spans="1:10" s="237" customFormat="1" x14ac:dyDescent="0.25">
      <c r="A233" s="185" t="s">
        <v>891</v>
      </c>
      <c r="B233" s="168" t="str">
        <f t="shared" si="40"/>
        <v>Le champ 200-085-06 doit être ≤ à 200-085-03</v>
      </c>
      <c r="C233" s="240" t="s">
        <v>662</v>
      </c>
      <c r="D233" s="233">
        <f>_20008506</f>
        <v>0</v>
      </c>
      <c r="E233" s="245">
        <f>_20008503</f>
        <v>0</v>
      </c>
      <c r="F233" s="219">
        <f t="shared" ref="F233:F234" si="45">IF(D233&lt;=E233,0,1)</f>
        <v>0</v>
      </c>
      <c r="G233" s="225" t="s">
        <v>191</v>
      </c>
      <c r="H233" s="228" t="s">
        <v>825</v>
      </c>
      <c r="I233" s="228" t="s">
        <v>824</v>
      </c>
      <c r="J233" s="157">
        <v>20008506</v>
      </c>
    </row>
    <row r="234" spans="1:10" s="237" customFormat="1" x14ac:dyDescent="0.25">
      <c r="A234" s="185" t="s">
        <v>892</v>
      </c>
      <c r="B234" s="168" t="str">
        <f t="shared" si="40"/>
        <v>Le champ 200-086-06 doit être ≤ à 200-086-03</v>
      </c>
      <c r="C234" s="240" t="s">
        <v>662</v>
      </c>
      <c r="D234" s="233">
        <f>_20008606</f>
        <v>0</v>
      </c>
      <c r="E234" s="245">
        <f>_20008603</f>
        <v>0</v>
      </c>
      <c r="F234" s="219">
        <f t="shared" si="45"/>
        <v>0</v>
      </c>
      <c r="G234" s="225" t="s">
        <v>191</v>
      </c>
      <c r="H234" s="228" t="s">
        <v>826</v>
      </c>
      <c r="I234" s="228" t="s">
        <v>827</v>
      </c>
      <c r="J234" s="157">
        <v>20008606</v>
      </c>
    </row>
    <row r="235" spans="1:10" s="237" customFormat="1" x14ac:dyDescent="0.25">
      <c r="A235" s="185" t="s">
        <v>893</v>
      </c>
      <c r="B235" s="168" t="str">
        <f t="shared" ref="B235" si="46">IF(LangueChoisie=LangueFR,H235,I235)</f>
        <v>Le champ 200-087-06 doit être ≤ à 200-087-03</v>
      </c>
      <c r="C235" s="240" t="s">
        <v>662</v>
      </c>
      <c r="D235" s="233">
        <f>_20008706</f>
        <v>0</v>
      </c>
      <c r="E235" s="245">
        <f>_20008703</f>
        <v>0</v>
      </c>
      <c r="F235" s="219">
        <f t="shared" ref="F235" si="47">IF(D235&lt;=E235,0,1)</f>
        <v>0</v>
      </c>
      <c r="G235" s="225" t="s">
        <v>191</v>
      </c>
      <c r="H235" s="228" t="s">
        <v>878</v>
      </c>
      <c r="I235" s="228" t="s">
        <v>879</v>
      </c>
      <c r="J235" s="157">
        <v>20008706</v>
      </c>
    </row>
    <row r="236" spans="1:10" x14ac:dyDescent="0.25">
      <c r="A236" s="185" t="s">
        <v>894</v>
      </c>
      <c r="B236" s="168" t="str">
        <f t="shared" si="40"/>
        <v>Le champ 200-090-06 doit être ≤ à 200-090-03</v>
      </c>
      <c r="C236" s="240" t="s">
        <v>663</v>
      </c>
      <c r="D236" s="233">
        <f>_20009006</f>
        <v>0</v>
      </c>
      <c r="E236" s="245">
        <f>_20009003</f>
        <v>0</v>
      </c>
      <c r="F236" s="217">
        <f t="shared" si="44"/>
        <v>0</v>
      </c>
      <c r="G236" s="225" t="s">
        <v>191</v>
      </c>
      <c r="H236" s="223" t="s">
        <v>654</v>
      </c>
      <c r="I236" s="228" t="s">
        <v>663</v>
      </c>
      <c r="J236" s="157">
        <v>20009006</v>
      </c>
    </row>
    <row r="237" spans="1:10" x14ac:dyDescent="0.25">
      <c r="A237" s="185" t="s">
        <v>895</v>
      </c>
      <c r="B237" s="168" t="str">
        <f t="shared" si="40"/>
        <v>L'addition des dépôts en devises étrangères retourne un résultat incorrect (200-090-06)</v>
      </c>
      <c r="C237" s="240" t="s">
        <v>665</v>
      </c>
      <c r="D237" s="233">
        <f>_20009006</f>
        <v>0</v>
      </c>
      <c r="E237" s="245">
        <f>SUM(_20001006,_20002006,_20003006,_20004006,_20005006,_20006006,_20007006,_20008006,_20008506,_20008606,_20008706)</f>
        <v>0</v>
      </c>
      <c r="F237" s="217">
        <f t="shared" ref="F237" si="48">IF(D237=E237,0,1)</f>
        <v>0</v>
      </c>
      <c r="G237" s="225" t="s">
        <v>191</v>
      </c>
      <c r="H237" s="228" t="s">
        <v>664</v>
      </c>
      <c r="I237" s="228" t="s">
        <v>665</v>
      </c>
      <c r="J237" s="157">
        <v>20009006</v>
      </c>
    </row>
    <row r="238" spans="1:10" x14ac:dyDescent="0.25">
      <c r="A238" s="185" t="s">
        <v>896</v>
      </c>
      <c r="B238" s="168" t="str">
        <f t="shared" si="35"/>
        <v>La prime payable (sans taxe) de l'annexe 100 ne concorde pas avec celle de l'annexe 300 (300-010)</v>
      </c>
      <c r="C238" s="238" t="s">
        <v>448</v>
      </c>
      <c r="D238" s="150">
        <f>'300'!F4</f>
        <v>5000</v>
      </c>
      <c r="E238" s="150">
        <f>'100'!J23</f>
        <v>5000</v>
      </c>
      <c r="F238" s="146">
        <f>IF(D238=E238,0,1)</f>
        <v>0</v>
      </c>
      <c r="G238" s="225" t="s">
        <v>191</v>
      </c>
      <c r="H238" s="223" t="s">
        <v>135</v>
      </c>
      <c r="I238" s="223" t="s">
        <v>448</v>
      </c>
      <c r="J238" s="157">
        <v>300010</v>
      </c>
    </row>
    <row r="239" spans="1:10" x14ac:dyDescent="0.25">
      <c r="A239" s="185" t="s">
        <v>897</v>
      </c>
      <c r="B239" s="168" t="str">
        <f t="shared" si="35"/>
        <v>Le calcul de la taxe sur la prime retourne un résultat incorrect (300-020)</v>
      </c>
      <c r="C239" s="238" t="s">
        <v>449</v>
      </c>
      <c r="D239" s="150">
        <f>'300'!F6</f>
        <v>450</v>
      </c>
      <c r="E239" s="150">
        <f>'300'!F4*TauxTaxe</f>
        <v>450</v>
      </c>
      <c r="F239" s="146">
        <f>IF(D239=E239,0,1)</f>
        <v>0</v>
      </c>
      <c r="G239" s="225" t="s">
        <v>191</v>
      </c>
      <c r="H239" s="223" t="s">
        <v>136</v>
      </c>
      <c r="I239" s="223" t="s">
        <v>449</v>
      </c>
      <c r="J239" s="157">
        <v>300020</v>
      </c>
    </row>
    <row r="240" spans="1:10" s="235" customFormat="1" x14ac:dyDescent="0.25">
      <c r="A240" s="194" t="s">
        <v>898</v>
      </c>
      <c r="B240" s="169" t="str">
        <f t="shared" si="35"/>
        <v>L'addition de la prime payable et de la taxe retourne un résultat incorrect (300-030)</v>
      </c>
      <c r="C240" s="239" t="s">
        <v>450</v>
      </c>
      <c r="D240" s="195">
        <f>'300'!F8</f>
        <v>5450</v>
      </c>
      <c r="E240" s="195">
        <f>'300'!F4+'300'!F6</f>
        <v>5450</v>
      </c>
      <c r="F240" s="149">
        <f>IF(D240=E240,0,1)</f>
        <v>0</v>
      </c>
      <c r="G240" s="226" t="s">
        <v>191</v>
      </c>
      <c r="H240" s="227" t="s">
        <v>137</v>
      </c>
      <c r="I240" s="227" t="s">
        <v>450</v>
      </c>
      <c r="J240" s="232">
        <v>300030</v>
      </c>
    </row>
  </sheetData>
  <sheetProtection algorithmName="SHA-512" hashValue="C46gwZhHj/myKC+YpQQ6i7rTi3FW10S9taO8RbRFBl4AG7ow38p2QXAm9xpsQg2PbUGcOjQKIB24PTnzw1exsQ==" saltValue="GBgZZFWo8OBKBfcT2dUrSQ==" spinCount="100000" sheet="1" objects="1" scenarios="1"/>
  <conditionalFormatting sqref="F1">
    <cfRule type="cellIs" dxfId="57" priority="93" operator="equal">
      <formula>1</formula>
    </cfRule>
    <cfRule type="cellIs" dxfId="56" priority="94" operator="equal">
      <formula>0</formula>
    </cfRule>
  </conditionalFormatting>
  <conditionalFormatting sqref="F5:F20 F2:F3 F90:F109 F159 F164 F174 F179 F184 F189 F194 F199 F204 F209 F225:F232 F236:F240 F33:F66 F68:F85 F112:F154">
    <cfRule type="cellIs" dxfId="55" priority="89" operator="equal">
      <formula>1</formula>
    </cfRule>
    <cfRule type="cellIs" dxfId="54" priority="90" operator="equal">
      <formula>0</formula>
    </cfRule>
  </conditionalFormatting>
  <conditionalFormatting sqref="F21:F26">
    <cfRule type="cellIs" dxfId="53" priority="87" operator="equal">
      <formula>1</formula>
    </cfRule>
    <cfRule type="cellIs" dxfId="52" priority="88" operator="equal">
      <formula>0</formula>
    </cfRule>
  </conditionalFormatting>
  <conditionalFormatting sqref="F27:F31">
    <cfRule type="cellIs" dxfId="51" priority="85" operator="equal">
      <formula>1</formula>
    </cfRule>
    <cfRule type="cellIs" dxfId="50" priority="86" operator="equal">
      <formula>0</formula>
    </cfRule>
  </conditionalFormatting>
  <conditionalFormatting sqref="F32">
    <cfRule type="cellIs" dxfId="49" priority="83" operator="equal">
      <formula>1</formula>
    </cfRule>
    <cfRule type="cellIs" dxfId="48" priority="84" operator="equal">
      <formula>0</formula>
    </cfRule>
  </conditionalFormatting>
  <conditionalFormatting sqref="F170:F209 F225:F232 F236:F237">
    <cfRule type="cellIs" dxfId="47" priority="81" operator="equal">
      <formula>1</formula>
    </cfRule>
    <cfRule type="cellIs" dxfId="46" priority="82" operator="equal">
      <formula>0</formula>
    </cfRule>
  </conditionalFormatting>
  <conditionalFormatting sqref="F4">
    <cfRule type="cellIs" dxfId="45" priority="79" operator="equal">
      <formula>1</formula>
    </cfRule>
    <cfRule type="cellIs" dxfId="44" priority="80" operator="equal">
      <formula>0</formula>
    </cfRule>
  </conditionalFormatting>
  <conditionalFormatting sqref="F86:F87">
    <cfRule type="cellIs" dxfId="43" priority="77" operator="equal">
      <formula>1</formula>
    </cfRule>
    <cfRule type="cellIs" dxfId="42" priority="78" operator="equal">
      <formula>0</formula>
    </cfRule>
  </conditionalFormatting>
  <conditionalFormatting sqref="F155:F159">
    <cfRule type="cellIs" dxfId="41" priority="59" operator="equal">
      <formula>1</formula>
    </cfRule>
    <cfRule type="cellIs" dxfId="40" priority="60" operator="equal">
      <formula>0</formula>
    </cfRule>
  </conditionalFormatting>
  <conditionalFormatting sqref="F160:F164">
    <cfRule type="cellIs" dxfId="39" priority="55" operator="equal">
      <formula>1</formula>
    </cfRule>
    <cfRule type="cellIs" dxfId="38" priority="56" operator="equal">
      <formula>0</formula>
    </cfRule>
  </conditionalFormatting>
  <conditionalFormatting sqref="F164">
    <cfRule type="cellIs" dxfId="37" priority="53" operator="equal">
      <formula>1</formula>
    </cfRule>
    <cfRule type="cellIs" dxfId="36" priority="54" operator="equal">
      <formula>0</formula>
    </cfRule>
  </conditionalFormatting>
  <conditionalFormatting sqref="F214">
    <cfRule type="cellIs" dxfId="35" priority="51" operator="equal">
      <formula>1</formula>
    </cfRule>
    <cfRule type="cellIs" dxfId="34" priority="52" operator="equal">
      <formula>0</formula>
    </cfRule>
  </conditionalFormatting>
  <conditionalFormatting sqref="F210:F214">
    <cfRule type="cellIs" dxfId="33" priority="49" operator="equal">
      <formula>1</formula>
    </cfRule>
    <cfRule type="cellIs" dxfId="32" priority="50" operator="equal">
      <formula>0</formula>
    </cfRule>
  </conditionalFormatting>
  <conditionalFormatting sqref="F219">
    <cfRule type="cellIs" dxfId="31" priority="47" operator="equal">
      <formula>1</formula>
    </cfRule>
    <cfRule type="cellIs" dxfId="30" priority="48" operator="equal">
      <formula>0</formula>
    </cfRule>
  </conditionalFormatting>
  <conditionalFormatting sqref="F215:F219">
    <cfRule type="cellIs" dxfId="29" priority="45" operator="equal">
      <formula>1</formula>
    </cfRule>
    <cfRule type="cellIs" dxfId="28" priority="46" operator="equal">
      <formula>0</formula>
    </cfRule>
  </conditionalFormatting>
  <conditionalFormatting sqref="F233">
    <cfRule type="cellIs" dxfId="27" priority="43" operator="equal">
      <formula>1</formula>
    </cfRule>
    <cfRule type="cellIs" dxfId="26" priority="44" operator="equal">
      <formula>0</formula>
    </cfRule>
  </conditionalFormatting>
  <conditionalFormatting sqref="F233">
    <cfRule type="cellIs" dxfId="25" priority="41" operator="equal">
      <formula>1</formula>
    </cfRule>
    <cfRule type="cellIs" dxfId="24" priority="42" operator="equal">
      <formula>0</formula>
    </cfRule>
  </conditionalFormatting>
  <conditionalFormatting sqref="F234">
    <cfRule type="cellIs" dxfId="23" priority="39" operator="equal">
      <formula>1</formula>
    </cfRule>
    <cfRule type="cellIs" dxfId="22" priority="40" operator="equal">
      <formula>0</formula>
    </cfRule>
  </conditionalFormatting>
  <conditionalFormatting sqref="F234">
    <cfRule type="cellIs" dxfId="21" priority="37" operator="equal">
      <formula>1</formula>
    </cfRule>
    <cfRule type="cellIs" dxfId="20" priority="38" operator="equal">
      <formula>0</formula>
    </cfRule>
  </conditionalFormatting>
  <conditionalFormatting sqref="F67">
    <cfRule type="cellIs" dxfId="19" priority="35" operator="equal">
      <formula>1</formula>
    </cfRule>
    <cfRule type="cellIs" dxfId="18" priority="36" operator="equal">
      <formula>0</formula>
    </cfRule>
  </conditionalFormatting>
  <conditionalFormatting sqref="F88:F89">
    <cfRule type="cellIs" dxfId="17" priority="33" operator="equal">
      <formula>1</formula>
    </cfRule>
    <cfRule type="cellIs" dxfId="16" priority="34" operator="equal">
      <formula>0</formula>
    </cfRule>
  </conditionalFormatting>
  <conditionalFormatting sqref="F110:F111">
    <cfRule type="cellIs" dxfId="15" priority="29" operator="equal">
      <formula>1</formula>
    </cfRule>
    <cfRule type="cellIs" dxfId="14" priority="30" operator="equal">
      <formula>0</formula>
    </cfRule>
  </conditionalFormatting>
  <conditionalFormatting sqref="F169">
    <cfRule type="cellIs" dxfId="13" priority="17" operator="equal">
      <formula>1</formula>
    </cfRule>
    <cfRule type="cellIs" dxfId="12" priority="18" operator="equal">
      <formula>0</formula>
    </cfRule>
  </conditionalFormatting>
  <conditionalFormatting sqref="F165:F169">
    <cfRule type="cellIs" dxfId="11" priority="15" operator="equal">
      <formula>1</formula>
    </cfRule>
    <cfRule type="cellIs" dxfId="10" priority="16" operator="equal">
      <formula>0</formula>
    </cfRule>
  </conditionalFormatting>
  <conditionalFormatting sqref="F169">
    <cfRule type="cellIs" dxfId="9" priority="13" operator="equal">
      <formula>1</formula>
    </cfRule>
    <cfRule type="cellIs" dxfId="8" priority="14" operator="equal">
      <formula>0</formula>
    </cfRule>
  </conditionalFormatting>
  <conditionalFormatting sqref="F224">
    <cfRule type="cellIs" dxfId="7" priority="11" operator="equal">
      <formula>1</formula>
    </cfRule>
    <cfRule type="cellIs" dxfId="6" priority="12" operator="equal">
      <formula>0</formula>
    </cfRule>
  </conditionalFormatting>
  <conditionalFormatting sqref="F220:F224">
    <cfRule type="cellIs" dxfId="5" priority="9" operator="equal">
      <formula>1</formula>
    </cfRule>
    <cfRule type="cellIs" dxfId="4" priority="10" operator="equal">
      <formula>0</formula>
    </cfRule>
  </conditionalFormatting>
  <conditionalFormatting sqref="F235">
    <cfRule type="cellIs" dxfId="3" priority="3" operator="equal">
      <formula>1</formula>
    </cfRule>
    <cfRule type="cellIs" dxfId="2" priority="4" operator="equal">
      <formula>0</formula>
    </cfRule>
  </conditionalFormatting>
  <conditionalFormatting sqref="F235">
    <cfRule type="cellIs" dxfId="1" priority="1" operator="equal">
      <formula>1</formula>
    </cfRule>
    <cfRule type="cellIs" dxfId="0" priority="2" operator="equal">
      <formula>0</formula>
    </cfRule>
  </conditionalFormatting>
  <hyperlinks>
    <hyperlink ref="J237" location="_20009006" display="_20009006" xr:uid="{00000000-0004-0000-0500-000000000000}"/>
    <hyperlink ref="J236" location="_20009006" display="_20009006" xr:uid="{00000000-0004-0000-0500-000001000000}"/>
    <hyperlink ref="J232" location="_20008006" display="_20008006" xr:uid="{00000000-0004-0000-0500-000002000000}"/>
    <hyperlink ref="J231" location="_20007006" display="_20007006" xr:uid="{00000000-0004-0000-0500-000003000000}"/>
    <hyperlink ref="J230" location="_20006006" display="_20006006" xr:uid="{00000000-0004-0000-0500-000004000000}"/>
    <hyperlink ref="J229" location="_20005006" display="_20005006" xr:uid="{00000000-0004-0000-0500-000005000000}"/>
    <hyperlink ref="J228" location="_20004006" display="_20004006" xr:uid="{00000000-0004-0000-0500-000006000000}"/>
    <hyperlink ref="J227" location="_20003006" display="_20003006" xr:uid="{00000000-0004-0000-0500-000007000000}"/>
    <hyperlink ref="J226" location="_20002006" display="_20002006" xr:uid="{00000000-0004-0000-0500-000008000000}"/>
    <hyperlink ref="J225" location="_20001006" display="_20001006" xr:uid="{00000000-0004-0000-0500-000009000000}"/>
    <hyperlink ref="J209" location="_20008006" display="_20008006" xr:uid="{00000000-0004-0000-0500-00000A000000}"/>
    <hyperlink ref="J204" location="_20007006" display="_20007006" xr:uid="{00000000-0004-0000-0500-00000B000000}"/>
    <hyperlink ref="J199" location="_20006006" display="_20006006" xr:uid="{00000000-0004-0000-0500-00000C000000}"/>
    <hyperlink ref="J194" location="_20005006" display="_20005006" xr:uid="{00000000-0004-0000-0500-00000D000000}"/>
    <hyperlink ref="J189" location="_20004006" display="_20004006" xr:uid="{00000000-0004-0000-0500-00000E000000}"/>
    <hyperlink ref="J184" location="_20003006" display="_20003006" xr:uid="{00000000-0004-0000-0500-00000F000000}"/>
    <hyperlink ref="J179" location="_20002006" display="_20002006" xr:uid="{00000000-0004-0000-0500-000010000000}"/>
    <hyperlink ref="J174" location="_20001006" display="_20001006" xr:uid="{00000000-0004-0000-0500-000011000000}"/>
    <hyperlink ref="J154" location="_20008006" display="_20008006" xr:uid="{00000000-0004-0000-0500-000012000000}"/>
    <hyperlink ref="J149" location="_20007006" display="_20007006" xr:uid="{00000000-0004-0000-0500-000013000000}"/>
    <hyperlink ref="J144" location="_20006006" display="_20006006" xr:uid="{00000000-0004-0000-0500-000014000000}"/>
    <hyperlink ref="J139" location="_20005006" display="_20005006" xr:uid="{00000000-0004-0000-0500-000015000000}"/>
    <hyperlink ref="J134" location="_20004006" display="_20004006" xr:uid="{00000000-0004-0000-0500-000016000000}"/>
    <hyperlink ref="J129" location="_20003006" display="_20003006" xr:uid="{00000000-0004-0000-0500-000017000000}"/>
    <hyperlink ref="J124" location="_20002006" display="_20002006" xr:uid="{00000000-0004-0000-0500-000018000000}"/>
    <hyperlink ref="J119" location="_20001006" display="_20001006" xr:uid="{00000000-0004-0000-0500-000019000000}"/>
    <hyperlink ref="J105" location="_20008005" display="_20008005" xr:uid="{00000000-0004-0000-0500-00001A000000}"/>
    <hyperlink ref="J104" location="_20008004" display="_20008004" xr:uid="{00000000-0004-0000-0500-00001B000000}"/>
    <hyperlink ref="J103" location="_20007005" display="_20007005" xr:uid="{00000000-0004-0000-0500-00001C000000}"/>
    <hyperlink ref="J102" location="_20007004" display="_20007004" xr:uid="{00000000-0004-0000-0500-00001D000000}"/>
    <hyperlink ref="J101" location="_20006005" display="_20006005" xr:uid="{00000000-0004-0000-0500-00001E000000}"/>
    <hyperlink ref="J100" location="_20006004" display="_20006004" xr:uid="{00000000-0004-0000-0500-00001F000000}"/>
    <hyperlink ref="J99" location="_20005005" display="_20005005" xr:uid="{00000000-0004-0000-0500-000020000000}"/>
    <hyperlink ref="J98" location="_20005004" display="_20005004" xr:uid="{00000000-0004-0000-0500-000021000000}"/>
    <hyperlink ref="J97" location="_20004005" display="_20004005" xr:uid="{00000000-0004-0000-0500-000022000000}"/>
    <hyperlink ref="J96" location="_20004004" display="_20004004" xr:uid="{00000000-0004-0000-0500-000023000000}"/>
    <hyperlink ref="J95" location="_20003005" display="_20003005" xr:uid="{00000000-0004-0000-0500-000024000000}"/>
    <hyperlink ref="J94" location="_20003004" display="_20003004" xr:uid="{00000000-0004-0000-0500-000025000000}"/>
    <hyperlink ref="J93" location="_20002005" display="_20002005" xr:uid="{00000000-0004-0000-0500-000026000000}"/>
    <hyperlink ref="J92" location="_20002004" display="_20002004" xr:uid="{00000000-0004-0000-0500-000027000000}"/>
    <hyperlink ref="J91" location="_20001005" display="_20001005" xr:uid="{00000000-0004-0000-0500-000028000000}"/>
    <hyperlink ref="J90" location="_20001004" display="_20001004" xr:uid="{00000000-0004-0000-0500-000029000000}"/>
    <hyperlink ref="J64" location="_20008001" display="_20008001" xr:uid="{00000000-0004-0000-0500-00002A000000}"/>
    <hyperlink ref="J63" location="_20007001" display="_20007001" xr:uid="{00000000-0004-0000-0500-00002B000000}"/>
    <hyperlink ref="J62" location="_20006001" display="_20006001" xr:uid="{00000000-0004-0000-0500-00002C000000}"/>
    <hyperlink ref="J61" location="_20005001" display="_20005001" xr:uid="{00000000-0004-0000-0500-00002D000000}"/>
    <hyperlink ref="J60" location="_20004001" display="_20004001" xr:uid="{00000000-0004-0000-0500-00002E000000}"/>
    <hyperlink ref="J59" location="_20003001" display="_20003001" xr:uid="{00000000-0004-0000-0500-00002F000000}"/>
    <hyperlink ref="J58" location="_20002001" display="_20002001" xr:uid="{00000000-0004-0000-0500-000030000000}"/>
    <hyperlink ref="J57" location="_20001001" display="_20001001" xr:uid="{00000000-0004-0000-0500-000031000000}"/>
    <hyperlink ref="J83" location="_20008005" display="_20008005" xr:uid="{00000000-0004-0000-0500-000032000000}"/>
    <hyperlink ref="J82" location="_20008004" display="_20008004" xr:uid="{00000000-0004-0000-0500-000033000000}"/>
    <hyperlink ref="J81" location="_20007005" display="_20007005" xr:uid="{00000000-0004-0000-0500-000034000000}"/>
    <hyperlink ref="J80" location="_20007004" display="_20007004" xr:uid="{00000000-0004-0000-0500-000035000000}"/>
    <hyperlink ref="J79" location="_20006005" display="_20006005" xr:uid="{00000000-0004-0000-0500-000036000000}"/>
    <hyperlink ref="J78" location="_20006004" display="_20006004" xr:uid="{00000000-0004-0000-0500-000037000000}"/>
    <hyperlink ref="J77" location="_20005005" display="_20005005" xr:uid="{00000000-0004-0000-0500-000038000000}"/>
    <hyperlink ref="J76" location="_20005004" display="_20005004" xr:uid="{00000000-0004-0000-0500-000039000000}"/>
    <hyperlink ref="J75" location="_20004005" display="_20004005" xr:uid="{00000000-0004-0000-0500-00003A000000}"/>
    <hyperlink ref="J74" location="_20004004" display="_20004004" xr:uid="{00000000-0004-0000-0500-00003B000000}"/>
    <hyperlink ref="J73" location="_20003005" display="_20003005" xr:uid="{00000000-0004-0000-0500-00003C000000}"/>
    <hyperlink ref="J72" location="_20003004" display="_20003004" xr:uid="{00000000-0004-0000-0500-00003D000000}"/>
    <hyperlink ref="J71" location="_20002005" display="_20002005" xr:uid="{00000000-0004-0000-0500-00003E000000}"/>
    <hyperlink ref="J70" location="_20002004" display="_20002004" xr:uid="{00000000-0004-0000-0500-00003F000000}"/>
    <hyperlink ref="J69" location="_20001005" display="_20001005" xr:uid="{00000000-0004-0000-0500-000040000000}"/>
    <hyperlink ref="J68" location="_20001004" display="_20001004" xr:uid="{00000000-0004-0000-0500-000041000000}"/>
    <hyperlink ref="J240" location="_300030" display="_300030" xr:uid="{00000000-0004-0000-0500-000042000000}"/>
    <hyperlink ref="J239" location="_300020" display="_300020" xr:uid="{00000000-0004-0000-0500-000043000000}"/>
    <hyperlink ref="J238" location="_300010" display="_300010" xr:uid="{00000000-0004-0000-0500-000044000000}"/>
    <hyperlink ref="J208" location="_20008005" display="_20008005" xr:uid="{00000000-0004-0000-0500-000045000000}"/>
    <hyperlink ref="J207" location="_20008004" display="_20008004" xr:uid="{00000000-0004-0000-0500-000046000000}"/>
    <hyperlink ref="J206" location="_20008002" display="_20008002" xr:uid="{00000000-0004-0000-0500-000047000000}"/>
    <hyperlink ref="J205" location="_20008001" display="_20008001" xr:uid="{00000000-0004-0000-0500-000048000000}"/>
    <hyperlink ref="J203" location="_20007005" display="_20007005" xr:uid="{00000000-0004-0000-0500-000049000000}"/>
    <hyperlink ref="J202" location="_20007004" display="_20007004" xr:uid="{00000000-0004-0000-0500-00004A000000}"/>
    <hyperlink ref="J201" location="_20007002" display="_20007002" xr:uid="{00000000-0004-0000-0500-00004B000000}"/>
    <hyperlink ref="J200" location="_20007001" display="_20007001" xr:uid="{00000000-0004-0000-0500-00004C000000}"/>
    <hyperlink ref="J198" location="_20006005" display="_20006005" xr:uid="{00000000-0004-0000-0500-00004D000000}"/>
    <hyperlink ref="J197" location="_20006004" display="_20006004" xr:uid="{00000000-0004-0000-0500-00004E000000}"/>
    <hyperlink ref="J196" location="_20006002" display="_20006002" xr:uid="{00000000-0004-0000-0500-00004F000000}"/>
    <hyperlink ref="J195" location="_20006001" display="_20006001" xr:uid="{00000000-0004-0000-0500-000050000000}"/>
    <hyperlink ref="J193" location="_20005005" display="_20005005" xr:uid="{00000000-0004-0000-0500-000051000000}"/>
    <hyperlink ref="J192" location="_20005004" display="_20005004" xr:uid="{00000000-0004-0000-0500-000052000000}"/>
    <hyperlink ref="J191" location="_20005002" display="_20005002" xr:uid="{00000000-0004-0000-0500-000053000000}"/>
    <hyperlink ref="J190" location="_20005001" display="_20005001" xr:uid="{00000000-0004-0000-0500-000054000000}"/>
    <hyperlink ref="J188" location="_20004005" display="_20004005" xr:uid="{00000000-0004-0000-0500-000055000000}"/>
    <hyperlink ref="J187" location="_20004004" display="_20004004" xr:uid="{00000000-0004-0000-0500-000056000000}"/>
    <hyperlink ref="J186" location="_20004002" display="_20004002" xr:uid="{00000000-0004-0000-0500-000057000000}"/>
    <hyperlink ref="J185" location="_20004001" display="_20004001" xr:uid="{00000000-0004-0000-0500-000058000000}"/>
    <hyperlink ref="J183" location="_20003005" display="_20003005" xr:uid="{00000000-0004-0000-0500-000059000000}"/>
    <hyperlink ref="J182" location="_20003004" display="_20003004" xr:uid="{00000000-0004-0000-0500-00005A000000}"/>
    <hyperlink ref="J181" location="_20003002" display="_20003002" xr:uid="{00000000-0004-0000-0500-00005B000000}"/>
    <hyperlink ref="J180" location="_20003001" display="_20003001" xr:uid="{00000000-0004-0000-0500-00005C000000}"/>
    <hyperlink ref="J178" location="_20002005" display="_20002005" xr:uid="{00000000-0004-0000-0500-00005D000000}"/>
    <hyperlink ref="J177" location="_20002004" display="_20002004" xr:uid="{00000000-0004-0000-0500-00005E000000}"/>
    <hyperlink ref="J176" location="_20002002" display="_20002002" xr:uid="{00000000-0004-0000-0500-00005F000000}"/>
    <hyperlink ref="J175" location="_20002001" display="_20002001" xr:uid="{00000000-0004-0000-0500-000060000000}"/>
    <hyperlink ref="J173" location="_20001005" display="_20001005" xr:uid="{00000000-0004-0000-0500-000061000000}"/>
    <hyperlink ref="J172" location="_20001004" display="_20001004" xr:uid="{00000000-0004-0000-0500-000062000000}"/>
    <hyperlink ref="J171" location="_20001002" display="_20001002" xr:uid="{00000000-0004-0000-0500-000063000000}"/>
    <hyperlink ref="J170" location="_20001001" display="_20001001" xr:uid="{00000000-0004-0000-0500-000064000000}"/>
    <hyperlink ref="J153" location="_20008005" display="_20008005" xr:uid="{00000000-0004-0000-0500-000065000000}"/>
    <hyperlink ref="J152" location="_20008004" display="_20008004" xr:uid="{00000000-0004-0000-0500-000066000000}"/>
    <hyperlink ref="J151" location="_20008002" display="_20008002" xr:uid="{00000000-0004-0000-0500-000067000000}"/>
    <hyperlink ref="J150" location="_20008001" display="_20008001" xr:uid="{00000000-0004-0000-0500-000068000000}"/>
    <hyperlink ref="J148" location="_20007005" display="_20007005" xr:uid="{00000000-0004-0000-0500-000069000000}"/>
    <hyperlink ref="J147" location="_20007004" display="_20007004" xr:uid="{00000000-0004-0000-0500-00006A000000}"/>
    <hyperlink ref="J146" location="_20007002" display="_20007002" xr:uid="{00000000-0004-0000-0500-00006B000000}"/>
    <hyperlink ref="J145" location="_20007001" display="_20007001" xr:uid="{00000000-0004-0000-0500-00006C000000}"/>
    <hyperlink ref="J143" location="_20006005" display="_20006005" xr:uid="{00000000-0004-0000-0500-00006D000000}"/>
    <hyperlink ref="J142" location="_20006004" display="_20006004" xr:uid="{00000000-0004-0000-0500-00006E000000}"/>
    <hyperlink ref="J141" location="_20006002" display="_20006002" xr:uid="{00000000-0004-0000-0500-00006F000000}"/>
    <hyperlink ref="J140" location="_20006001" display="_20006001" xr:uid="{00000000-0004-0000-0500-000070000000}"/>
    <hyperlink ref="J138" location="_20005005" display="_20005005" xr:uid="{00000000-0004-0000-0500-000071000000}"/>
    <hyperlink ref="J137" location="_20005004" display="_20005004" xr:uid="{00000000-0004-0000-0500-000072000000}"/>
    <hyperlink ref="J136" location="_20005002" display="_20005002" xr:uid="{00000000-0004-0000-0500-000073000000}"/>
    <hyperlink ref="J135" location="_20005001" display="_20005001" xr:uid="{00000000-0004-0000-0500-000074000000}"/>
    <hyperlink ref="J133" location="_20004005" display="_20004005" xr:uid="{00000000-0004-0000-0500-000075000000}"/>
    <hyperlink ref="J132" location="_20004004" display="_20004004" xr:uid="{00000000-0004-0000-0500-000076000000}"/>
    <hyperlink ref="J131" location="_20004002" display="_20004002" xr:uid="{00000000-0004-0000-0500-000077000000}"/>
    <hyperlink ref="J130" location="_20004001" display="_20004001" xr:uid="{00000000-0004-0000-0500-000078000000}"/>
    <hyperlink ref="J128" location="_20003005" display="_20003005" xr:uid="{00000000-0004-0000-0500-000079000000}"/>
    <hyperlink ref="J127" location="_20003004" display="_20003004" xr:uid="{00000000-0004-0000-0500-00007A000000}"/>
    <hyperlink ref="J126" location="_20003002" display="_20003002" xr:uid="{00000000-0004-0000-0500-00007B000000}"/>
    <hyperlink ref="J125" location="_20003001" display="_20003001" xr:uid="{00000000-0004-0000-0500-00007C000000}"/>
    <hyperlink ref="J123" location="_20002005" display="_20002005" xr:uid="{00000000-0004-0000-0500-00007D000000}"/>
    <hyperlink ref="J122" location="_20002004" display="_20002004" xr:uid="{00000000-0004-0000-0500-00007E000000}"/>
    <hyperlink ref="J121" location="_20002002" display="_20002002" xr:uid="{00000000-0004-0000-0500-00007F000000}"/>
    <hyperlink ref="J120" location="_20002001" display="_20002001" xr:uid="{00000000-0004-0000-0500-000080000000}"/>
    <hyperlink ref="J118" location="_20001005" display="_20001005" xr:uid="{00000000-0004-0000-0500-000081000000}"/>
    <hyperlink ref="J117" location="_20001004" display="_20001004" xr:uid="{00000000-0004-0000-0500-000082000000}"/>
    <hyperlink ref="J116" location="_20001002" display="_20001002" xr:uid="{00000000-0004-0000-0500-000083000000}"/>
    <hyperlink ref="J115" location="_20001001" display="_20001001" xr:uid="{00000000-0004-0000-0500-000084000000}"/>
    <hyperlink ref="J114" location="_20009003" display="_20009003" xr:uid="{00000000-0004-0000-0500-000085000000}"/>
    <hyperlink ref="J113" location="_20009002" display="_20009002" xr:uid="{00000000-0004-0000-0500-000086000000}"/>
    <hyperlink ref="J112" location="_20009001" display="_20009001" xr:uid="{00000000-0004-0000-0500-000087000000}"/>
    <hyperlink ref="J56" location="_20009005" display="_20009005" xr:uid="{00000000-0004-0000-0500-000088000000}"/>
    <hyperlink ref="J55" location="_20009004" display="_20009004" xr:uid="{00000000-0004-0000-0500-000089000000}"/>
    <hyperlink ref="J54" location="_20009003" display="_20009003" xr:uid="{00000000-0004-0000-0500-00008A000000}"/>
    <hyperlink ref="J53" location="_20009002" display="_20009002" xr:uid="{00000000-0004-0000-0500-00008B000000}"/>
    <hyperlink ref="J52" location="_20009001" display="_20009001" xr:uid="{00000000-0004-0000-0500-00008C000000}"/>
    <hyperlink ref="J48" location="_20008003" display="_20008003" xr:uid="{00000000-0004-0000-0500-00008D000000}"/>
    <hyperlink ref="J47" location="_20007003" display="_20007003" xr:uid="{00000000-0004-0000-0500-00008E000000}"/>
    <hyperlink ref="J46" location="_20006003" display="_20006003" xr:uid="{00000000-0004-0000-0500-00008F000000}"/>
    <hyperlink ref="J45" location="_20005003" display="_20005003" xr:uid="{00000000-0004-0000-0500-000090000000}"/>
    <hyperlink ref="J44" location="_20004003" display="_20004003" xr:uid="{00000000-0004-0000-0500-000091000000}"/>
    <hyperlink ref="J43" location="_20003305" display="_20003305" xr:uid="{00000000-0004-0000-0500-000092000000}"/>
    <hyperlink ref="J42" location="_20003304" display="_20003304" xr:uid="{00000000-0004-0000-0500-000093000000}"/>
    <hyperlink ref="J41" location="_20003205" display="_20003205" xr:uid="{00000000-0004-0000-0500-000094000000}"/>
    <hyperlink ref="J40" location="_20003204" display="_20003204" xr:uid="{00000000-0004-0000-0500-000095000000}"/>
    <hyperlink ref="J39" location="_20003105" display="_20003105" xr:uid="{00000000-0004-0000-0500-000096000000}"/>
    <hyperlink ref="J38" location="_20003104" display="_20003104" xr:uid="{00000000-0004-0000-0500-000097000000}"/>
    <hyperlink ref="J37" location="_20003005" display="_20003005" xr:uid="{00000000-0004-0000-0500-000098000000}"/>
    <hyperlink ref="J36" location="_20003004" display="_20003004" xr:uid="{00000000-0004-0000-0500-000099000000}"/>
    <hyperlink ref="J35" location="_20003003" display="_20003003" xr:uid="{00000000-0004-0000-0500-00009A000000}"/>
    <hyperlink ref="J34" location="_20002003" display="_20002003" xr:uid="{00000000-0004-0000-0500-00009B000000}"/>
    <hyperlink ref="J33" location="_20001003" display="_20001003" xr:uid="{00000000-0004-0000-0500-00009C000000}"/>
    <hyperlink ref="J32" location="_10004002" display="_10004002" xr:uid="{00000000-0004-0000-0500-00009D000000}"/>
    <hyperlink ref="J31" location="_10004002" display="_10004002" xr:uid="{00000000-0004-0000-0500-00009E000000}"/>
    <hyperlink ref="J30" location="_10004001" display="_10004001" xr:uid="{00000000-0004-0000-0500-00009F000000}"/>
    <hyperlink ref="J29" location="_10002002" display="_10002002" xr:uid="{00000000-0004-0000-0500-0000A0000000}"/>
    <hyperlink ref="J28" location="_10002001" display="_10002001" xr:uid="{00000000-0004-0000-0500-0000A1000000}"/>
    <hyperlink ref="J27" location="_10001002" display="_10001002" xr:uid="{00000000-0004-0000-0500-0000A2000000}"/>
    <hyperlink ref="J26" location="_10004002" display="_10004002" xr:uid="{00000000-0004-0000-0500-0000A3000000}"/>
    <hyperlink ref="J25" location="_10004001" display="_10004001" xr:uid="{00000000-0004-0000-0500-0000A4000000}"/>
    <hyperlink ref="J24" location="_10002002" display="_10002002" xr:uid="{00000000-0004-0000-0500-0000A5000000}"/>
    <hyperlink ref="J23" location="_10002001" display="_10002001" xr:uid="{00000000-0004-0000-0500-0000A6000000}"/>
    <hyperlink ref="J22" location="_10001002" display="_10001002" xr:uid="{00000000-0004-0000-0500-0000A7000000}"/>
    <hyperlink ref="J21" location="_10001001" display="_10001001" xr:uid="{00000000-0004-0000-0500-0000A8000000}"/>
    <hyperlink ref="J20" location="_10004002" display="_10004002" xr:uid="{00000000-0004-0000-0500-0000A9000000}"/>
    <hyperlink ref="J19" location="_10004001" display="_10004001" xr:uid="{00000000-0004-0000-0500-0000AA000000}"/>
    <hyperlink ref="J18" location="_10002002" display="_10002002" xr:uid="{00000000-0004-0000-0500-0000AB000000}"/>
    <hyperlink ref="J17" location="_10002001" display="_10002001" xr:uid="{00000000-0004-0000-0500-0000AC000000}"/>
    <hyperlink ref="J16" location="_10001002" display="_10001002" xr:uid="{00000000-0004-0000-0500-0000AD000000}"/>
    <hyperlink ref="J15" location="_10001001" display="_10001001" xr:uid="{00000000-0004-0000-0500-0000AE000000}"/>
    <hyperlink ref="J14" location="_10006003" display="_10006003" xr:uid="{00000000-0004-0000-0500-0000AF000000}"/>
    <hyperlink ref="J13" location="_10005003" display="_10005003" xr:uid="{00000000-0004-0000-0500-0000B0000000}"/>
    <hyperlink ref="J12" location="_10005002" display="_10005002" xr:uid="{00000000-0004-0000-0500-0000B1000000}"/>
    <hyperlink ref="J11" location="_10005001" display="_10005001" xr:uid="{00000000-0004-0000-0500-0000B2000000}"/>
    <hyperlink ref="J10" location="_10004003" display="_10004003" xr:uid="{00000000-0004-0000-0500-0000B3000000}"/>
    <hyperlink ref="J9" location="_10003003" display="_10003003" xr:uid="{00000000-0004-0000-0500-0000B4000000}"/>
    <hyperlink ref="J8" location="_10003002" display="_10003002" xr:uid="{00000000-0004-0000-0500-0000B5000000}"/>
    <hyperlink ref="J7" location="_10003001" display="_10003001" xr:uid="{00000000-0004-0000-0500-0000B6000000}"/>
    <hyperlink ref="J6" location="_10002003" display="_10002003" xr:uid="{00000000-0004-0000-0500-0000B7000000}"/>
    <hyperlink ref="J5" location="_10001003" display="_10001003" xr:uid="{00000000-0004-0000-0500-0000B8000000}"/>
    <hyperlink ref="J4" location="_Ident030" display="Ident030" xr:uid="{00000000-0004-0000-0500-0000B9000000}"/>
    <hyperlink ref="J3" location="_Ident020" display="Ident020" xr:uid="{00000000-0004-0000-0500-0000BA000000}"/>
    <hyperlink ref="J2" location="_Ident010" display="Ident010" xr:uid="{00000000-0004-0000-0500-0000BB000000}"/>
    <hyperlink ref="J49" location="_20008503" display="_20008503" xr:uid="{00000000-0004-0000-0500-0000BC000000}"/>
    <hyperlink ref="J50" location="_20008603" display="_20008603" xr:uid="{00000000-0004-0000-0500-0000BD000000}"/>
    <hyperlink ref="J65" location="_20008501" display="_20008501" xr:uid="{00000000-0004-0000-0500-0000BE000000}"/>
    <hyperlink ref="J66" location="_20008601" display="_20008601" xr:uid="{00000000-0004-0000-0500-0000BF000000}"/>
    <hyperlink ref="J84" location="_20008504" display="_20008504" xr:uid="{00000000-0004-0000-0500-0000C0000000}"/>
    <hyperlink ref="J85" location="_20008505" display="_20008505" xr:uid="{00000000-0004-0000-0500-0000C1000000}"/>
    <hyperlink ref="J86" location="_20008604" display="_20008604" xr:uid="{00000000-0004-0000-0500-0000C2000000}"/>
    <hyperlink ref="J107" location="_20008505" display="_20008505" xr:uid="{00000000-0004-0000-0500-0000C3000000}"/>
    <hyperlink ref="J106" location="_20008504" display="_20008504" xr:uid="{00000000-0004-0000-0500-0000C4000000}"/>
    <hyperlink ref="J109" location="_20008605" display="_20008605" xr:uid="{00000000-0004-0000-0500-0000C5000000}"/>
    <hyperlink ref="J108" location="_20008604" display="_20008604" xr:uid="{00000000-0004-0000-0500-0000C6000000}"/>
    <hyperlink ref="J158" location="_20008505" display="_20008505" xr:uid="{00000000-0004-0000-0500-0000C7000000}"/>
    <hyperlink ref="J157" location="_20008504" display="_20008504" xr:uid="{00000000-0004-0000-0500-0000C8000000}"/>
    <hyperlink ref="J156" location="_20008502" display="_20008502" xr:uid="{00000000-0004-0000-0500-0000C9000000}"/>
    <hyperlink ref="J155" location="_20008501" display="_20008501" xr:uid="{00000000-0004-0000-0500-0000CA000000}"/>
    <hyperlink ref="J159" location="_20008506" display="_20008506" xr:uid="{00000000-0004-0000-0500-0000CB000000}"/>
    <hyperlink ref="J163" location="_20008605" display="_20008605" xr:uid="{00000000-0004-0000-0500-0000CC000000}"/>
    <hyperlink ref="J162" location="_20008604" display="_20008604" xr:uid="{00000000-0004-0000-0500-0000CD000000}"/>
    <hyperlink ref="J161" location="_20008602" display="_20008602" xr:uid="{00000000-0004-0000-0500-0000CE000000}"/>
    <hyperlink ref="J160" location="_20008601" display="_20008601" xr:uid="{00000000-0004-0000-0500-0000CF000000}"/>
    <hyperlink ref="J164" location="_20008606" display="_20008606" xr:uid="{00000000-0004-0000-0500-0000D0000000}"/>
    <hyperlink ref="J214" location="_20008506" display="_20008506" xr:uid="{00000000-0004-0000-0500-0000D1000000}"/>
    <hyperlink ref="J213" location="_20008505" display="_20008505" xr:uid="{00000000-0004-0000-0500-0000D2000000}"/>
    <hyperlink ref="J212" location="_20008504" display="_20008504" xr:uid="{00000000-0004-0000-0500-0000D3000000}"/>
    <hyperlink ref="J211" location="_20008502" display="_20008502" xr:uid="{00000000-0004-0000-0500-0000D4000000}"/>
    <hyperlink ref="J210" location="_20008501" display="_20008501" xr:uid="{00000000-0004-0000-0500-0000D5000000}"/>
    <hyperlink ref="J219" location="_20008606" display="_20008606" xr:uid="{00000000-0004-0000-0500-0000D6000000}"/>
    <hyperlink ref="J218" location="_20008605" display="_20008605" xr:uid="{00000000-0004-0000-0500-0000D7000000}"/>
    <hyperlink ref="J217" location="_20008604" display="_20008604" xr:uid="{00000000-0004-0000-0500-0000D8000000}"/>
    <hyperlink ref="J216" location="_20008602" display="_20008602" xr:uid="{00000000-0004-0000-0500-0000D9000000}"/>
    <hyperlink ref="J215" location="_20008601" display="_20008601" xr:uid="{00000000-0004-0000-0500-0000DA000000}"/>
    <hyperlink ref="J233" location="_20008506" display="_20008506" xr:uid="{00000000-0004-0000-0500-0000DB000000}"/>
    <hyperlink ref="J234" location="_20008606" display="_20008606" xr:uid="{00000000-0004-0000-0500-0000DC000000}"/>
    <hyperlink ref="J51" location="_20008703" display="_20008703" xr:uid="{00000000-0004-0000-0500-0000DD000000}"/>
    <hyperlink ref="J67" location="_20008701" display="_20008701" xr:uid="{00000000-0004-0000-0500-0000DE000000}"/>
    <hyperlink ref="J89" location="_20008705" display="_20008705" xr:uid="{00000000-0004-0000-0500-0000DF000000}"/>
    <hyperlink ref="J87" location="_20008605" display="_20008605" xr:uid="{00000000-0004-0000-0500-0000E0000000}"/>
    <hyperlink ref="J88" location="_20008704" display="_20008704" xr:uid="{00000000-0004-0000-0500-0000E1000000}"/>
    <hyperlink ref="J111" location="_20008705" display="_20008705" xr:uid="{00000000-0004-0000-0500-0000E2000000}"/>
    <hyperlink ref="J110" location="_20008704" display="_20008704" xr:uid="{00000000-0004-0000-0500-0000E3000000}"/>
    <hyperlink ref="J168" location="_20008705" display="_20008705" xr:uid="{00000000-0004-0000-0500-0000E4000000}"/>
    <hyperlink ref="J167" location="_20008704" display="_20008704" xr:uid="{00000000-0004-0000-0500-0000E5000000}"/>
    <hyperlink ref="J166" location="_20008702" display="_20008702" xr:uid="{00000000-0004-0000-0500-0000E6000000}"/>
    <hyperlink ref="J165" location="_20008701" display="_20008701" xr:uid="{00000000-0004-0000-0500-0000E7000000}"/>
    <hyperlink ref="J169" location="_20008706" display="_20008706" xr:uid="{00000000-0004-0000-0500-0000E8000000}"/>
    <hyperlink ref="J224" location="_20008706" display="_20008706" xr:uid="{00000000-0004-0000-0500-0000E9000000}"/>
    <hyperlink ref="J223" location="_20008705" display="_20008705" xr:uid="{00000000-0004-0000-0500-0000EA000000}"/>
    <hyperlink ref="J222" location="_20008704" display="_20008704" xr:uid="{00000000-0004-0000-0500-0000EB000000}"/>
    <hyperlink ref="J221" location="_20008702" display="_20008702" xr:uid="{00000000-0004-0000-0500-0000EC000000}"/>
    <hyperlink ref="J220" location="_20008701" display="_20008701" xr:uid="{00000000-0004-0000-0500-0000ED000000}"/>
    <hyperlink ref="J235" location="_20008706" display="_20008706" xr:uid="{00000000-0004-0000-0500-0000EE000000}"/>
  </hyperlinks>
  <pageMargins left="0.70866141732283472" right="0.70866141732283472" top="0.74803149606299213" bottom="0.74803149606299213" header="0.31496062992125984" footer="0.31496062992125984"/>
  <pageSetup scale="74" fitToHeight="0" orientation="landscape" r:id="rId1"/>
  <ignoredErrors>
    <ignoredError sqref="A2:A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P"/>
  <dimension ref="A1:G12"/>
  <sheetViews>
    <sheetView workbookViewId="0">
      <selection activeCell="B15" sqref="B15"/>
    </sheetView>
  </sheetViews>
  <sheetFormatPr baseColWidth="10" defaultColWidth="11.44140625" defaultRowHeight="14.4" x14ac:dyDescent="0.3"/>
  <cols>
    <col min="1" max="1" width="18.109375" style="121" bestFit="1" customWidth="1"/>
    <col min="2" max="2" width="34.44140625" style="121" bestFit="1" customWidth="1"/>
    <col min="3" max="3" width="11.44140625" style="121"/>
    <col min="4" max="4" width="13.5546875" style="121" bestFit="1" customWidth="1"/>
    <col min="5" max="5" width="13.109375" style="121" bestFit="1" customWidth="1"/>
    <col min="6" max="6" width="14.5546875" style="121" customWidth="1"/>
    <col min="7" max="7" width="14.109375" style="121" bestFit="1" customWidth="1"/>
    <col min="8" max="16384" width="11.44140625" style="121"/>
  </cols>
  <sheetData>
    <row r="1" spans="1:7" x14ac:dyDescent="0.3">
      <c r="A1" s="120" t="s">
        <v>4</v>
      </c>
      <c r="B1" s="120" t="s">
        <v>14</v>
      </c>
      <c r="C1" s="120" t="s">
        <v>13</v>
      </c>
      <c r="D1" s="120" t="s">
        <v>197</v>
      </c>
      <c r="E1" s="120" t="s">
        <v>198</v>
      </c>
      <c r="F1" s="120" t="s">
        <v>195</v>
      </c>
      <c r="G1" s="120" t="s">
        <v>196</v>
      </c>
    </row>
    <row r="2" spans="1:7" x14ac:dyDescent="0.3">
      <c r="A2" s="121" t="s">
        <v>5</v>
      </c>
      <c r="B2" s="121" t="s">
        <v>0</v>
      </c>
      <c r="C2" s="121">
        <v>2023</v>
      </c>
      <c r="D2" s="220">
        <v>7.5000000000000002E-4</v>
      </c>
      <c r="E2" s="121">
        <v>5000</v>
      </c>
      <c r="F2" s="122">
        <v>0.09</v>
      </c>
      <c r="G2" s="123" t="s">
        <v>182</v>
      </c>
    </row>
    <row r="3" spans="1:7" x14ac:dyDescent="0.3">
      <c r="A3" s="121" t="s">
        <v>6</v>
      </c>
      <c r="B3" s="121" t="s">
        <v>15</v>
      </c>
      <c r="C3" s="121">
        <v>2024</v>
      </c>
    </row>
    <row r="4" spans="1:7" x14ac:dyDescent="0.3">
      <c r="C4" s="121">
        <v>2025</v>
      </c>
    </row>
    <row r="5" spans="1:7" x14ac:dyDescent="0.3">
      <c r="C5" s="121">
        <v>2026</v>
      </c>
    </row>
    <row r="6" spans="1:7" x14ac:dyDescent="0.3">
      <c r="C6" s="121">
        <v>2027</v>
      </c>
    </row>
    <row r="7" spans="1:7" x14ac:dyDescent="0.3">
      <c r="C7" s="121">
        <v>2028</v>
      </c>
    </row>
    <row r="8" spans="1:7" x14ac:dyDescent="0.3">
      <c r="C8" s="121">
        <v>2029</v>
      </c>
    </row>
    <row r="9" spans="1:7" x14ac:dyDescent="0.3">
      <c r="C9" s="121">
        <v>2030</v>
      </c>
    </row>
    <row r="10" spans="1:7" x14ac:dyDescent="0.3">
      <c r="C10" s="257"/>
    </row>
    <row r="11" spans="1:7" x14ac:dyDescent="0.3">
      <c r="C11" s="257"/>
    </row>
    <row r="12" spans="1:7" x14ac:dyDescent="0.3">
      <c r="C12" s="25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1" ma:contentTypeDescription="Crée un document." ma:contentTypeScope="" ma:versionID="d0f39ca3095fde9e9d1a37de2fdee3be">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8d26e01280dc89438f4e6a3256cbffcf"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DSDemandeArchiv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dexed="true"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indexed="true" ma:list="{c2dba245-1308-4802-bef5-c91d0b753676}" ma:internalName="PJDDocLie" ma:showField="DSNumeroID">
      <xsd:simpleType>
        <xsd:restriction base="dms:Lookup"/>
      </xsd:simpleType>
    </xsd:element>
    <xsd:element name="DSDemandeArchiver" ma:index="11" nillable="true" ma:displayName="Archiver" ma:default="0" ma:indexed="true" ma:internalName="DSDemandeArchiv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7303</PJDDocLie>
    <_fd_parent_temp xmlns="0ab4d0b0-81c9-496c-a6f8-8a0e74a7f3b9" xsi:nil="true"/>
    <DSDemandeArchiver xmlns="937acfcf-2433-4dc7-8dd3-98a5d50c96bf">false</DSDemandeArchiver>
    <PJDDocLieBK xmlns="0ab4d0b0-81c9-496c-a6f8-8a0e74a7f3b9">9627</PJDDocLieBK>
  </documentManagement>
</p:properties>
</file>

<file path=customXml/itemProps1.xml><?xml version="1.0" encoding="utf-8"?>
<ds:datastoreItem xmlns:ds="http://schemas.openxmlformats.org/officeDocument/2006/customXml" ds:itemID="{A122D18E-B2FE-4345-A57A-3501FC051AD9}"/>
</file>

<file path=customXml/itemProps2.xml><?xml version="1.0" encoding="utf-8"?>
<ds:datastoreItem xmlns:ds="http://schemas.openxmlformats.org/officeDocument/2006/customXml" ds:itemID="{BD2B83D3-C882-4959-93EE-33465CF4BCF3}"/>
</file>

<file path=customXml/itemProps3.xml><?xml version="1.0" encoding="utf-8"?>
<ds:datastoreItem xmlns:ds="http://schemas.openxmlformats.org/officeDocument/2006/customXml" ds:itemID="{1DA233FA-06E7-4439-A32F-6323195736E8}"/>
</file>

<file path=customXml/itemProps4.xml><?xml version="1.0" encoding="utf-8"?>
<ds:datastoreItem xmlns:ds="http://schemas.openxmlformats.org/officeDocument/2006/customXml" ds:itemID="{1E49B142-E444-459A-9C00-F3337E5D210E}"/>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152</vt:i4>
      </vt:variant>
    </vt:vector>
  </HeadingPairs>
  <TitlesOfParts>
    <vt:vector size="159" baseType="lpstr">
      <vt:lpstr>Identification</vt:lpstr>
      <vt:lpstr>T des M - T of C</vt:lpstr>
      <vt:lpstr>100</vt:lpstr>
      <vt:lpstr>200</vt:lpstr>
      <vt:lpstr>300</vt:lpstr>
      <vt:lpstr>Validation</vt:lpstr>
      <vt:lpstr>Parametres</vt:lpstr>
      <vt:lpstr>_10001001</vt:lpstr>
      <vt:lpstr>_10001002</vt:lpstr>
      <vt:lpstr>_10001003</vt:lpstr>
      <vt:lpstr>_10002001</vt:lpstr>
      <vt:lpstr>_10002002</vt:lpstr>
      <vt:lpstr>_10002003</vt:lpstr>
      <vt:lpstr>_10003001</vt:lpstr>
      <vt:lpstr>_10003002</vt:lpstr>
      <vt:lpstr>_10003003</vt:lpstr>
      <vt:lpstr>_10004001</vt:lpstr>
      <vt:lpstr>_10004002</vt:lpstr>
      <vt:lpstr>_10004003</vt:lpstr>
      <vt:lpstr>_10005001</vt:lpstr>
      <vt:lpstr>_10005002</vt:lpstr>
      <vt:lpstr>_10005003</vt:lpstr>
      <vt:lpstr>_10006003</vt:lpstr>
      <vt:lpstr>_1001001</vt:lpstr>
      <vt:lpstr>_1001002</vt:lpstr>
      <vt:lpstr>_1002001</vt:lpstr>
      <vt:lpstr>_1002002</vt:lpstr>
      <vt:lpstr>_1004001</vt:lpstr>
      <vt:lpstr>_1004002</vt:lpstr>
      <vt:lpstr>_20001001</vt:lpstr>
      <vt:lpstr>_20001002</vt:lpstr>
      <vt:lpstr>_20001003</vt:lpstr>
      <vt:lpstr>_20001004</vt:lpstr>
      <vt:lpstr>_20001005</vt:lpstr>
      <vt:lpstr>_20001006</vt:lpstr>
      <vt:lpstr>_20002001</vt:lpstr>
      <vt:lpstr>_20002002</vt:lpstr>
      <vt:lpstr>_20002003</vt:lpstr>
      <vt:lpstr>_20002004</vt:lpstr>
      <vt:lpstr>_20002005</vt:lpstr>
      <vt:lpstr>_20002006</vt:lpstr>
      <vt:lpstr>_20003001</vt:lpstr>
      <vt:lpstr>_20003002</vt:lpstr>
      <vt:lpstr>_20003003</vt:lpstr>
      <vt:lpstr>_20003004</vt:lpstr>
      <vt:lpstr>_20003005</vt:lpstr>
      <vt:lpstr>_20003006</vt:lpstr>
      <vt:lpstr>_20003104</vt:lpstr>
      <vt:lpstr>_20003105</vt:lpstr>
      <vt:lpstr>_20003204</vt:lpstr>
      <vt:lpstr>_20003205</vt:lpstr>
      <vt:lpstr>_20003304</vt:lpstr>
      <vt:lpstr>_20003305</vt:lpstr>
      <vt:lpstr>_20004001</vt:lpstr>
      <vt:lpstr>_20004002</vt:lpstr>
      <vt:lpstr>_20004003</vt:lpstr>
      <vt:lpstr>_20004004</vt:lpstr>
      <vt:lpstr>_20004005</vt:lpstr>
      <vt:lpstr>_20004006</vt:lpstr>
      <vt:lpstr>_20005001</vt:lpstr>
      <vt:lpstr>_20005002</vt:lpstr>
      <vt:lpstr>_20005003</vt:lpstr>
      <vt:lpstr>_20005004</vt:lpstr>
      <vt:lpstr>_20005005</vt:lpstr>
      <vt:lpstr>_20005006</vt:lpstr>
      <vt:lpstr>_20006001</vt:lpstr>
      <vt:lpstr>_20006002</vt:lpstr>
      <vt:lpstr>_20006003</vt:lpstr>
      <vt:lpstr>_20006004</vt:lpstr>
      <vt:lpstr>_20006005</vt:lpstr>
      <vt:lpstr>_20006006</vt:lpstr>
      <vt:lpstr>_20007001</vt:lpstr>
      <vt:lpstr>_20007002</vt:lpstr>
      <vt:lpstr>_20007003</vt:lpstr>
      <vt:lpstr>_20007004</vt:lpstr>
      <vt:lpstr>_20007005</vt:lpstr>
      <vt:lpstr>_20007006</vt:lpstr>
      <vt:lpstr>_20008001</vt:lpstr>
      <vt:lpstr>_20008002</vt:lpstr>
      <vt:lpstr>_20008003</vt:lpstr>
      <vt:lpstr>_20008004</vt:lpstr>
      <vt:lpstr>_20008005</vt:lpstr>
      <vt:lpstr>_20008006</vt:lpstr>
      <vt:lpstr>_20008501</vt:lpstr>
      <vt:lpstr>_20008502</vt:lpstr>
      <vt:lpstr>_20008503</vt:lpstr>
      <vt:lpstr>_20008504</vt:lpstr>
      <vt:lpstr>_20008505</vt:lpstr>
      <vt:lpstr>_20008506</vt:lpstr>
      <vt:lpstr>_20008601</vt:lpstr>
      <vt:lpstr>_20008602</vt:lpstr>
      <vt:lpstr>_20008603</vt:lpstr>
      <vt:lpstr>_20008604</vt:lpstr>
      <vt:lpstr>_20008605</vt:lpstr>
      <vt:lpstr>_20008606</vt:lpstr>
      <vt:lpstr>_20008701</vt:lpstr>
      <vt:lpstr>_20008702</vt:lpstr>
      <vt:lpstr>_20008703</vt:lpstr>
      <vt:lpstr>_20008704</vt:lpstr>
      <vt:lpstr>_20008705</vt:lpstr>
      <vt:lpstr>_20008706</vt:lpstr>
      <vt:lpstr>_20009001</vt:lpstr>
      <vt:lpstr>_20009002</vt:lpstr>
      <vt:lpstr>_20009003</vt:lpstr>
      <vt:lpstr>_20009004</vt:lpstr>
      <vt:lpstr>_20009005</vt:lpstr>
      <vt:lpstr>_20009006</vt:lpstr>
      <vt:lpstr>_20010006</vt:lpstr>
      <vt:lpstr>_201001</vt:lpstr>
      <vt:lpstr>_201002</vt:lpstr>
      <vt:lpstr>_201004</vt:lpstr>
      <vt:lpstr>_201005</vt:lpstr>
      <vt:lpstr>_202001</vt:lpstr>
      <vt:lpstr>_202002</vt:lpstr>
      <vt:lpstr>_202004</vt:lpstr>
      <vt:lpstr>_202005</vt:lpstr>
      <vt:lpstr>_203001</vt:lpstr>
      <vt:lpstr>_203002</vt:lpstr>
      <vt:lpstr>_203004</vt:lpstr>
      <vt:lpstr>_203005</vt:lpstr>
      <vt:lpstr>_204001</vt:lpstr>
      <vt:lpstr>_204002</vt:lpstr>
      <vt:lpstr>_204004</vt:lpstr>
      <vt:lpstr>_204005</vt:lpstr>
      <vt:lpstr>_205001</vt:lpstr>
      <vt:lpstr>_205002</vt:lpstr>
      <vt:lpstr>_205004</vt:lpstr>
      <vt:lpstr>_205005</vt:lpstr>
      <vt:lpstr>_206001</vt:lpstr>
      <vt:lpstr>_206002</vt:lpstr>
      <vt:lpstr>_206004</vt:lpstr>
      <vt:lpstr>_206005</vt:lpstr>
      <vt:lpstr>_207001</vt:lpstr>
      <vt:lpstr>_207002</vt:lpstr>
      <vt:lpstr>_207004</vt:lpstr>
      <vt:lpstr>_207005</vt:lpstr>
      <vt:lpstr>_208001</vt:lpstr>
      <vt:lpstr>_208002</vt:lpstr>
      <vt:lpstr>_208004</vt:lpstr>
      <vt:lpstr>_208005</vt:lpstr>
      <vt:lpstr>_300010</vt:lpstr>
      <vt:lpstr>_300020</vt:lpstr>
      <vt:lpstr>_300030</vt:lpstr>
      <vt:lpstr>_Ident010</vt:lpstr>
      <vt:lpstr>_Ident020</vt:lpstr>
      <vt:lpstr>_Ident030</vt:lpstr>
      <vt:lpstr>CharteAutre</vt:lpstr>
      <vt:lpstr>CharteCAN</vt:lpstr>
      <vt:lpstr>CharteQC</vt:lpstr>
      <vt:lpstr>LangueChoisie</vt:lpstr>
      <vt:lpstr>LangueEN</vt:lpstr>
      <vt:lpstr>LangueFR</vt:lpstr>
      <vt:lpstr>'200'!lt_pId001</vt:lpstr>
      <vt:lpstr>SeuilMinimal</vt:lpstr>
      <vt:lpstr>TauxPrime</vt:lpstr>
      <vt:lpstr>TauxTaxe</vt:lpstr>
      <vt:lpstr>TauxTaxeEnTxt</vt:lpstr>
      <vt:lpstr>TaxeEnTxt</vt:lpstr>
      <vt:lpstr>Identification!Zone_d_impression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DÉCLARATION DES DÉPÔTS GARANTIS</dc:title>
  <dc:subject/>
  <dc:creator>Autorité des Marchés Financiers</dc:creator>
  <cp:keywords/>
  <dc:description/>
  <cp:lastModifiedBy>Edith Larochelle</cp:lastModifiedBy>
  <cp:lastPrinted>2024-04-02T18:11:09Z</cp:lastPrinted>
  <dcterms:created xsi:type="dcterms:W3CDTF">2011-11-21T14:29:36Z</dcterms:created>
  <dcterms:modified xsi:type="dcterms:W3CDTF">2024-04-04T15:33:58Z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DDG</vt:lpwstr>
  </property>
  <property fmtid="{D5CDD505-2E9C-101B-9397-08002B2CF9AE}" pid="3" name="Version du formulaire">
    <vt:lpwstr>5.00</vt:lpwstr>
  </property>
  <property fmtid="{D5CDD505-2E9C-101B-9397-08002B2CF9AE}" pid="4" name="MSIP_Label_a1904e13-af40-4143-81c8-9390a3210047_Enabled">
    <vt:lpwstr>true</vt:lpwstr>
  </property>
  <property fmtid="{D5CDD505-2E9C-101B-9397-08002B2CF9AE}" pid="5" name="MSIP_Label_a1904e13-af40-4143-81c8-9390a3210047_SetDate">
    <vt:lpwstr>2021-07-08T12:11:55Z</vt:lpwstr>
  </property>
  <property fmtid="{D5CDD505-2E9C-101B-9397-08002B2CF9AE}" pid="6" name="MSIP_Label_a1904e13-af40-4143-81c8-9390a3210047_Method">
    <vt:lpwstr>Standard</vt:lpwstr>
  </property>
  <property fmtid="{D5CDD505-2E9C-101B-9397-08002B2CF9AE}" pid="7" name="MSIP_Label_a1904e13-af40-4143-81c8-9390a3210047_Name">
    <vt:lpwstr>a1904e13-af40-4143-81c8-9390a3210047</vt:lpwstr>
  </property>
  <property fmtid="{D5CDD505-2E9C-101B-9397-08002B2CF9AE}" pid="8" name="MSIP_Label_a1904e13-af40-4143-81c8-9390a3210047_SiteId">
    <vt:lpwstr>d6c8d074-3c6c-4534-b230-a8ed21f67ab3</vt:lpwstr>
  </property>
  <property fmtid="{D5CDD505-2E9C-101B-9397-08002B2CF9AE}" pid="9" name="MSIP_Label_a1904e13-af40-4143-81c8-9390a3210047_ActionId">
    <vt:lpwstr>a756c5d5-08b6-4198-afb5-5582e872e15c</vt:lpwstr>
  </property>
  <property fmtid="{D5CDD505-2E9C-101B-9397-08002B2CF9AE}" pid="10" name="MSIP_Label_a1904e13-af40-4143-81c8-9390a3210047_ContentBits">
    <vt:lpwstr>0</vt:lpwstr>
  </property>
  <property fmtid="{D5CDD505-2E9C-101B-9397-08002B2CF9AE}" pid="11" name="ContentTypeId">
    <vt:lpwstr>0x01010060DAE48BE66589458AB840DD0EDDDD8A</vt:lpwstr>
  </property>
</Properties>
</file>